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30 Rekenmodel\2021\"/>
    </mc:Choice>
  </mc:AlternateContent>
  <workbookProtection workbookAlgorithmName="SHA-512" workbookHashValue="L7SpB6ErOAbSr3HWqzlxL7G8qxXSjSaGd1O2fbmCasmHeI/rD94155xzv0mBE/i/8Tg5zoEBhBcb90LGkJzbZw==" workbookSaltValue="T/4jSNtkuT/HoDbe+PyuSA==" workbookSpinCount="100000" lockStructure="1"/>
  <bookViews>
    <workbookView xWindow="-15" yWindow="5865" windowWidth="25230" windowHeight="5925" tabRatio="860"/>
  </bookViews>
  <sheets>
    <sheet name="Voorbeeldberekening" sheetId="4" r:id="rId1"/>
    <sheet name="Tabel 2021 52 weken incl. 27,5 " sheetId="22" state="hidden" r:id="rId2"/>
    <sheet name="Tabel 2021 52 weken" sheetId="18" state="hidden" r:id="rId3"/>
    <sheet name="Tabel 2021 48 weken" sheetId="19" state="hidden" r:id="rId4"/>
    <sheet name="Tabel 2021 40 weken" sheetId="20" state="hidden" r:id="rId5"/>
    <sheet name="Flexibel 2021" sheetId="21" state="hidden" r:id="rId6"/>
    <sheet name="Lijst scholen" sheetId="5" state="hidden" r:id="rId7"/>
    <sheet name="Schooltijden" sheetId="1" state="hidden" r:id="rId8"/>
  </sheets>
  <definedNames>
    <definedName name="_xlnm._FilterDatabase" localSheetId="7" hidden="1">Schooltijden!$A$1:$AR$148</definedName>
    <definedName name="_xlnm.Print_Area" localSheetId="7">Schooltijden!$A$2:$N$159</definedName>
    <definedName name="_xlnm.Print_Area" localSheetId="0">Voorbeeldberekening!$A$1:$Y$79</definedName>
    <definedName name="Opvangvorm">'Lijst scholen'!#REF!</definedName>
    <definedName name="Scholen">'Lijst scholen'!$A$1:$A$25</definedName>
  </definedNames>
  <calcPr calcId="162913"/>
</workbook>
</file>

<file path=xl/calcChain.xml><?xml version="1.0" encoding="utf-8"?>
<calcChain xmlns="http://schemas.openxmlformats.org/spreadsheetml/2006/main">
  <c r="E57" i="4" l="1"/>
  <c r="E52" i="4"/>
  <c r="E47" i="4"/>
  <c r="H57" i="4" l="1"/>
  <c r="G57" i="4"/>
  <c r="F57" i="4"/>
  <c r="H52" i="4"/>
  <c r="G52" i="4"/>
  <c r="F52" i="4"/>
  <c r="H47" i="4"/>
  <c r="G47" i="4"/>
  <c r="F47" i="4"/>
  <c r="D19" i="21" l="1"/>
  <c r="D20" i="21"/>
  <c r="J101" i="18"/>
  <c r="J100" i="18"/>
  <c r="J99" i="18"/>
  <c r="J98" i="18"/>
  <c r="J97" i="18"/>
  <c r="J96" i="18"/>
  <c r="J95" i="18"/>
  <c r="J94" i="18"/>
  <c r="J93" i="18"/>
  <c r="J92" i="18"/>
  <c r="J91" i="18"/>
  <c r="J90" i="18"/>
  <c r="J89" i="18"/>
  <c r="J88" i="18"/>
  <c r="J87" i="18"/>
  <c r="J86" i="18"/>
  <c r="J85" i="18"/>
  <c r="J84" i="18"/>
  <c r="J83" i="18"/>
  <c r="J82" i="18"/>
  <c r="J81" i="18"/>
  <c r="J80" i="18"/>
  <c r="J79" i="18"/>
  <c r="J78" i="18"/>
  <c r="J77" i="18"/>
  <c r="J76" i="18"/>
  <c r="J75" i="18"/>
  <c r="J74" i="18"/>
  <c r="J73" i="18"/>
  <c r="J72" i="18"/>
  <c r="J71" i="18"/>
  <c r="J70" i="18"/>
  <c r="J69" i="18"/>
  <c r="J68" i="18"/>
  <c r="J67" i="18"/>
  <c r="J66" i="18"/>
  <c r="J65" i="18"/>
  <c r="J64" i="18"/>
  <c r="J63" i="18"/>
  <c r="J62" i="18"/>
  <c r="J61" i="18"/>
  <c r="J60" i="18"/>
  <c r="J59" i="18"/>
  <c r="J58" i="18"/>
  <c r="J57" i="18"/>
  <c r="J56" i="18"/>
  <c r="J55" i="18"/>
  <c r="J54" i="18"/>
  <c r="J53" i="18"/>
  <c r="J52" i="18"/>
  <c r="J51" i="18"/>
  <c r="J50" i="18"/>
  <c r="J49" i="18"/>
  <c r="J48" i="18"/>
  <c r="J47" i="18"/>
  <c r="J46" i="18"/>
  <c r="J45" i="18"/>
  <c r="J44" i="18"/>
  <c r="J43" i="18"/>
  <c r="J42" i="18"/>
  <c r="J41" i="18"/>
  <c r="J40" i="18"/>
  <c r="J39" i="18"/>
  <c r="J38" i="18"/>
  <c r="J37" i="18"/>
  <c r="J36" i="18"/>
  <c r="J35" i="18"/>
  <c r="J34" i="18"/>
  <c r="J33" i="18"/>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J33" i="19"/>
  <c r="J101" i="20"/>
  <c r="J100" i="20"/>
  <c r="J99" i="20"/>
  <c r="J98" i="20"/>
  <c r="J97" i="20"/>
  <c r="J96" i="20"/>
  <c r="J95" i="20"/>
  <c r="J94" i="20"/>
  <c r="J93" i="20"/>
  <c r="J92" i="20"/>
  <c r="J91" i="20"/>
  <c r="J90" i="20"/>
  <c r="J89" i="20"/>
  <c r="J88" i="20"/>
  <c r="J87" i="20"/>
  <c r="J86" i="20"/>
  <c r="J85" i="20"/>
  <c r="J84" i="20"/>
  <c r="J83" i="20"/>
  <c r="J82" i="20"/>
  <c r="J81" i="20"/>
  <c r="J80" i="20"/>
  <c r="J79" i="20"/>
  <c r="J78" i="20"/>
  <c r="J77" i="20"/>
  <c r="J76" i="20"/>
  <c r="J75" i="20"/>
  <c r="J74" i="20"/>
  <c r="J73" i="20"/>
  <c r="J72" i="20"/>
  <c r="J71" i="20"/>
  <c r="J70" i="20"/>
  <c r="J69" i="20"/>
  <c r="J68" i="20"/>
  <c r="J67" i="20"/>
  <c r="J66" i="20"/>
  <c r="J65" i="20"/>
  <c r="J64" i="20"/>
  <c r="J63" i="20"/>
  <c r="J62" i="20"/>
  <c r="J61" i="20"/>
  <c r="J60" i="20"/>
  <c r="J59" i="20"/>
  <c r="J58" i="20"/>
  <c r="J57" i="20"/>
  <c r="J56" i="20"/>
  <c r="J55" i="20"/>
  <c r="J54" i="20"/>
  <c r="J53" i="20"/>
  <c r="J52" i="20"/>
  <c r="J51" i="20"/>
  <c r="J50" i="20"/>
  <c r="J49" i="20"/>
  <c r="J48" i="20"/>
  <c r="J47" i="20"/>
  <c r="J46" i="20"/>
  <c r="J45" i="20"/>
  <c r="J44" i="20"/>
  <c r="J43" i="20"/>
  <c r="J42" i="20"/>
  <c r="J41" i="20"/>
  <c r="J40" i="20"/>
  <c r="J39" i="20"/>
  <c r="J38" i="20"/>
  <c r="J37" i="20"/>
  <c r="J36" i="20"/>
  <c r="J35" i="20"/>
  <c r="J34" i="20"/>
  <c r="J33" i="20"/>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J34" i="21"/>
  <c r="J35" i="21"/>
  <c r="J36" i="21"/>
  <c r="J37" i="21"/>
  <c r="J38" i="21"/>
  <c r="J39" i="21"/>
  <c r="J40" i="21"/>
  <c r="J41" i="21"/>
  <c r="J42" i="21"/>
  <c r="J43"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78" i="21"/>
  <c r="J79" i="21"/>
  <c r="J80" i="21"/>
  <c r="J81" i="21"/>
  <c r="J82" i="21"/>
  <c r="J83" i="21"/>
  <c r="J84" i="21"/>
  <c r="J85" i="21"/>
  <c r="J86" i="21"/>
  <c r="J87" i="21"/>
  <c r="J88" i="21"/>
  <c r="J89" i="21"/>
  <c r="J90" i="21"/>
  <c r="J91" i="21"/>
  <c r="J92" i="21"/>
  <c r="J93" i="21"/>
  <c r="J94" i="21"/>
  <c r="J95" i="21"/>
  <c r="J96" i="21"/>
  <c r="J97" i="21"/>
  <c r="J98" i="21"/>
  <c r="J99" i="21"/>
  <c r="J100" i="21"/>
  <c r="J101" i="21"/>
  <c r="J33" i="21"/>
  <c r="D33" i="21"/>
  <c r="B101" i="18"/>
  <c r="A101" i="18"/>
  <c r="B100" i="18"/>
  <c r="A100" i="18"/>
  <c r="B99" i="18"/>
  <c r="A99" i="18"/>
  <c r="B98" i="18"/>
  <c r="A98" i="18"/>
  <c r="B97" i="18"/>
  <c r="A97" i="18"/>
  <c r="B96" i="18"/>
  <c r="A96" i="18"/>
  <c r="B95" i="18"/>
  <c r="A95" i="18"/>
  <c r="B94" i="18"/>
  <c r="A94" i="18"/>
  <c r="B93" i="18"/>
  <c r="A93" i="18"/>
  <c r="B92" i="18"/>
  <c r="A92" i="18"/>
  <c r="B91" i="18"/>
  <c r="A91" i="18"/>
  <c r="B90" i="18"/>
  <c r="A90" i="18"/>
  <c r="B89" i="18"/>
  <c r="A89" i="18"/>
  <c r="B88" i="18"/>
  <c r="A88" i="18"/>
  <c r="B87" i="18"/>
  <c r="A87" i="18"/>
  <c r="B86" i="18"/>
  <c r="A86" i="18"/>
  <c r="B85" i="18"/>
  <c r="A85" i="18"/>
  <c r="B84" i="18"/>
  <c r="A84" i="18"/>
  <c r="B83" i="18"/>
  <c r="A83" i="18"/>
  <c r="B82" i="18"/>
  <c r="A82" i="18"/>
  <c r="B81" i="18"/>
  <c r="A81" i="18"/>
  <c r="B80" i="18"/>
  <c r="A80" i="18"/>
  <c r="B79" i="18"/>
  <c r="A79" i="18"/>
  <c r="B78" i="18"/>
  <c r="A78" i="18"/>
  <c r="B77" i="18"/>
  <c r="A77" i="18"/>
  <c r="B76" i="18"/>
  <c r="A76" i="18"/>
  <c r="B75" i="18"/>
  <c r="A75" i="18"/>
  <c r="B74" i="18"/>
  <c r="A74" i="18"/>
  <c r="B73" i="18"/>
  <c r="A73" i="18"/>
  <c r="B72" i="18"/>
  <c r="A72" i="18"/>
  <c r="B71" i="18"/>
  <c r="A71" i="18"/>
  <c r="B70" i="18"/>
  <c r="A70" i="18"/>
  <c r="B69" i="18"/>
  <c r="A69" i="18"/>
  <c r="B68" i="18"/>
  <c r="A68" i="18"/>
  <c r="B67" i="18"/>
  <c r="A67" i="18"/>
  <c r="B66" i="18"/>
  <c r="A66" i="18"/>
  <c r="B65" i="18"/>
  <c r="A65" i="18"/>
  <c r="B64" i="18"/>
  <c r="A64" i="18"/>
  <c r="B63" i="18"/>
  <c r="A63" i="18"/>
  <c r="B62" i="18"/>
  <c r="A62" i="18"/>
  <c r="B61" i="18"/>
  <c r="A61" i="18"/>
  <c r="B60" i="18"/>
  <c r="A60" i="18"/>
  <c r="B59" i="18"/>
  <c r="A59" i="18"/>
  <c r="B58" i="18"/>
  <c r="A58" i="18"/>
  <c r="B57" i="18"/>
  <c r="A57" i="18"/>
  <c r="B56" i="18"/>
  <c r="A56" i="18"/>
  <c r="B55" i="18"/>
  <c r="A55" i="18"/>
  <c r="B54" i="18"/>
  <c r="A54" i="18"/>
  <c r="B53" i="18"/>
  <c r="A53" i="18"/>
  <c r="B52" i="18"/>
  <c r="A52" i="18"/>
  <c r="B51" i="18"/>
  <c r="A51" i="18"/>
  <c r="B50" i="18"/>
  <c r="A50" i="18"/>
  <c r="B49" i="18"/>
  <c r="A49" i="18"/>
  <c r="B48" i="18"/>
  <c r="A48" i="18"/>
  <c r="B47" i="18"/>
  <c r="A47" i="18"/>
  <c r="B46" i="18"/>
  <c r="A46" i="18"/>
  <c r="B45" i="18"/>
  <c r="A45" i="18"/>
  <c r="B44" i="18"/>
  <c r="A44" i="18"/>
  <c r="B43" i="18"/>
  <c r="A43" i="18"/>
  <c r="B42" i="18"/>
  <c r="A42" i="18"/>
  <c r="B41" i="18"/>
  <c r="A41" i="18"/>
  <c r="B40" i="18"/>
  <c r="A40" i="18"/>
  <c r="B39" i="18"/>
  <c r="A39" i="18"/>
  <c r="B38" i="18"/>
  <c r="A38" i="18"/>
  <c r="B37" i="18"/>
  <c r="A37" i="18"/>
  <c r="B36" i="18"/>
  <c r="A36" i="18"/>
  <c r="B35" i="18"/>
  <c r="A35" i="18"/>
  <c r="B34" i="18"/>
  <c r="A34" i="18"/>
  <c r="B33" i="18"/>
  <c r="A33" i="18"/>
  <c r="B101" i="19"/>
  <c r="A101" i="19"/>
  <c r="B100" i="19"/>
  <c r="A100" i="19"/>
  <c r="B99" i="19"/>
  <c r="A99" i="19"/>
  <c r="B98" i="19"/>
  <c r="A98" i="19"/>
  <c r="B97" i="19"/>
  <c r="A97" i="19"/>
  <c r="B96" i="19"/>
  <c r="A96" i="19"/>
  <c r="B95" i="19"/>
  <c r="A95" i="19"/>
  <c r="B94" i="19"/>
  <c r="A94" i="19"/>
  <c r="B93" i="19"/>
  <c r="A93" i="19"/>
  <c r="B92" i="19"/>
  <c r="A92" i="19"/>
  <c r="B91" i="19"/>
  <c r="A91" i="19"/>
  <c r="B90" i="19"/>
  <c r="A90" i="19"/>
  <c r="B89" i="19"/>
  <c r="A89" i="19"/>
  <c r="B88" i="19"/>
  <c r="A88" i="19"/>
  <c r="B87" i="19"/>
  <c r="A87" i="19"/>
  <c r="B86" i="19"/>
  <c r="A86" i="19"/>
  <c r="B85" i="19"/>
  <c r="A85" i="19"/>
  <c r="B84" i="19"/>
  <c r="A84" i="19"/>
  <c r="B83" i="19"/>
  <c r="A83" i="19"/>
  <c r="B82" i="19"/>
  <c r="A82" i="19"/>
  <c r="B81" i="19"/>
  <c r="A81" i="19"/>
  <c r="B80" i="19"/>
  <c r="A80" i="19"/>
  <c r="B79" i="19"/>
  <c r="A79" i="19"/>
  <c r="B78" i="19"/>
  <c r="A78" i="19"/>
  <c r="B77" i="19"/>
  <c r="A77" i="19"/>
  <c r="B76" i="19"/>
  <c r="A76" i="19"/>
  <c r="B75" i="19"/>
  <c r="A75" i="19"/>
  <c r="B74" i="19"/>
  <c r="A74" i="19"/>
  <c r="B73" i="19"/>
  <c r="A73" i="19"/>
  <c r="B72" i="19"/>
  <c r="A72" i="19"/>
  <c r="B71" i="19"/>
  <c r="A71" i="19"/>
  <c r="B70" i="19"/>
  <c r="A70" i="19"/>
  <c r="B69" i="19"/>
  <c r="A69" i="19"/>
  <c r="B68" i="19"/>
  <c r="A68" i="19"/>
  <c r="B67" i="19"/>
  <c r="A67" i="19"/>
  <c r="B66" i="19"/>
  <c r="A66" i="19"/>
  <c r="B65" i="19"/>
  <c r="A65" i="19"/>
  <c r="B64" i="19"/>
  <c r="A64" i="19"/>
  <c r="B63" i="19"/>
  <c r="A63" i="19"/>
  <c r="B62" i="19"/>
  <c r="A62" i="19"/>
  <c r="B61" i="19"/>
  <c r="A61" i="19"/>
  <c r="B60" i="19"/>
  <c r="A60" i="19"/>
  <c r="B59" i="19"/>
  <c r="A59" i="19"/>
  <c r="B58" i="19"/>
  <c r="A58" i="19"/>
  <c r="B57" i="19"/>
  <c r="A57" i="19"/>
  <c r="B56" i="19"/>
  <c r="A56" i="19"/>
  <c r="B55" i="19"/>
  <c r="A55" i="19"/>
  <c r="B54" i="19"/>
  <c r="A54" i="19"/>
  <c r="B53" i="19"/>
  <c r="A53" i="19"/>
  <c r="B52" i="19"/>
  <c r="A52" i="19"/>
  <c r="B51" i="19"/>
  <c r="A51" i="19"/>
  <c r="B50" i="19"/>
  <c r="A50" i="19"/>
  <c r="B49" i="19"/>
  <c r="A49" i="19"/>
  <c r="B48" i="19"/>
  <c r="A48" i="19"/>
  <c r="B47" i="19"/>
  <c r="A47" i="19"/>
  <c r="B46" i="19"/>
  <c r="A46" i="19"/>
  <c r="B45" i="19"/>
  <c r="A45" i="19"/>
  <c r="B44" i="19"/>
  <c r="A44" i="19"/>
  <c r="B43" i="19"/>
  <c r="A43" i="19"/>
  <c r="B42" i="19"/>
  <c r="A42" i="19"/>
  <c r="B41" i="19"/>
  <c r="A41" i="19"/>
  <c r="B40" i="19"/>
  <c r="A40" i="19"/>
  <c r="B39" i="19"/>
  <c r="A39" i="19"/>
  <c r="B38" i="19"/>
  <c r="A38" i="19"/>
  <c r="B37" i="19"/>
  <c r="A37" i="19"/>
  <c r="B36" i="19"/>
  <c r="A36" i="19"/>
  <c r="B35" i="19"/>
  <c r="A35" i="19"/>
  <c r="B34" i="19"/>
  <c r="A34" i="19"/>
  <c r="B33" i="19"/>
  <c r="A33" i="19"/>
  <c r="B101" i="20"/>
  <c r="A101" i="20"/>
  <c r="B100" i="20"/>
  <c r="A100" i="20"/>
  <c r="B99" i="20"/>
  <c r="A99" i="20"/>
  <c r="B98" i="20"/>
  <c r="A98" i="20"/>
  <c r="B97" i="20"/>
  <c r="A97" i="20"/>
  <c r="B96" i="20"/>
  <c r="A96" i="20"/>
  <c r="B95" i="20"/>
  <c r="A95" i="20"/>
  <c r="B94" i="20"/>
  <c r="A94" i="20"/>
  <c r="B93" i="20"/>
  <c r="A93" i="20"/>
  <c r="B92" i="20"/>
  <c r="A92" i="20"/>
  <c r="B91" i="20"/>
  <c r="A91" i="20"/>
  <c r="B90" i="20"/>
  <c r="A90" i="20"/>
  <c r="B89" i="20"/>
  <c r="A89" i="20"/>
  <c r="B88" i="20"/>
  <c r="A88" i="20"/>
  <c r="B87" i="20"/>
  <c r="A87" i="20"/>
  <c r="B86" i="20"/>
  <c r="A86" i="20"/>
  <c r="B85" i="20"/>
  <c r="A85" i="20"/>
  <c r="B84" i="20"/>
  <c r="A84" i="20"/>
  <c r="B83" i="20"/>
  <c r="A83" i="20"/>
  <c r="B82" i="20"/>
  <c r="A82" i="20"/>
  <c r="B81" i="20"/>
  <c r="A81" i="20"/>
  <c r="B80" i="20"/>
  <c r="A80" i="20"/>
  <c r="B79" i="20"/>
  <c r="A79" i="20"/>
  <c r="B78" i="20"/>
  <c r="A78" i="20"/>
  <c r="B77" i="20"/>
  <c r="A77" i="20"/>
  <c r="B76" i="20"/>
  <c r="A76" i="20"/>
  <c r="B75" i="20"/>
  <c r="A75" i="20"/>
  <c r="B74" i="20"/>
  <c r="A74" i="20"/>
  <c r="B73" i="20"/>
  <c r="A73" i="20"/>
  <c r="B72" i="20"/>
  <c r="A72" i="20"/>
  <c r="B71" i="20"/>
  <c r="A71" i="20"/>
  <c r="B70" i="20"/>
  <c r="A70" i="20"/>
  <c r="B69" i="20"/>
  <c r="A69" i="20"/>
  <c r="B68" i="20"/>
  <c r="A68" i="20"/>
  <c r="B67" i="20"/>
  <c r="A67" i="20"/>
  <c r="B66" i="20"/>
  <c r="A66" i="20"/>
  <c r="B65" i="20"/>
  <c r="A65" i="20"/>
  <c r="B64" i="20"/>
  <c r="A64" i="20"/>
  <c r="B63" i="20"/>
  <c r="A63" i="20"/>
  <c r="B62" i="20"/>
  <c r="A62" i="20"/>
  <c r="B61" i="20"/>
  <c r="A61" i="20"/>
  <c r="B60" i="20"/>
  <c r="A60" i="20"/>
  <c r="B59" i="20"/>
  <c r="A59" i="20"/>
  <c r="B58" i="20"/>
  <c r="A58" i="20"/>
  <c r="B57" i="20"/>
  <c r="A57" i="20"/>
  <c r="B56" i="20"/>
  <c r="A56" i="20"/>
  <c r="B55" i="20"/>
  <c r="A55" i="20"/>
  <c r="B54" i="20"/>
  <c r="A54" i="20"/>
  <c r="B53" i="20"/>
  <c r="A53" i="20"/>
  <c r="B52" i="20"/>
  <c r="A52" i="20"/>
  <c r="B51" i="20"/>
  <c r="A51" i="20"/>
  <c r="B50" i="20"/>
  <c r="A50" i="20"/>
  <c r="B49" i="20"/>
  <c r="A49" i="20"/>
  <c r="B48" i="20"/>
  <c r="A48" i="20"/>
  <c r="B47" i="20"/>
  <c r="A47" i="20"/>
  <c r="B46" i="20"/>
  <c r="A46" i="20"/>
  <c r="B45" i="20"/>
  <c r="A45" i="20"/>
  <c r="B44" i="20"/>
  <c r="A44" i="20"/>
  <c r="B43" i="20"/>
  <c r="A43" i="20"/>
  <c r="B42" i="20"/>
  <c r="A42" i="20"/>
  <c r="B41" i="20"/>
  <c r="A41" i="20"/>
  <c r="B40" i="20"/>
  <c r="A40" i="20"/>
  <c r="B39" i="20"/>
  <c r="A39" i="20"/>
  <c r="B38" i="20"/>
  <c r="A38" i="20"/>
  <c r="B37" i="20"/>
  <c r="A37" i="20"/>
  <c r="B36" i="20"/>
  <c r="A36" i="20"/>
  <c r="B35" i="20"/>
  <c r="A35" i="20"/>
  <c r="B34" i="20"/>
  <c r="A34" i="20"/>
  <c r="B33" i="20"/>
  <c r="A33" i="20"/>
  <c r="A34" i="21"/>
  <c r="B34" i="21"/>
  <c r="A35" i="21"/>
  <c r="B35" i="21"/>
  <c r="A36" i="21"/>
  <c r="B36" i="21"/>
  <c r="A37" i="21"/>
  <c r="B37" i="21"/>
  <c r="A38" i="21"/>
  <c r="B38" i="21"/>
  <c r="A39" i="21"/>
  <c r="B39" i="21"/>
  <c r="A40" i="21"/>
  <c r="B40" i="21"/>
  <c r="A41" i="21"/>
  <c r="B41" i="21"/>
  <c r="A42" i="21"/>
  <c r="B42" i="21"/>
  <c r="A43" i="21"/>
  <c r="B43" i="21"/>
  <c r="A44" i="21"/>
  <c r="B44" i="21"/>
  <c r="A45" i="21"/>
  <c r="B45" i="21"/>
  <c r="A46" i="21"/>
  <c r="B46" i="21"/>
  <c r="A47" i="21"/>
  <c r="B47" i="21"/>
  <c r="A48" i="21"/>
  <c r="B48" i="21"/>
  <c r="A49" i="21"/>
  <c r="B49" i="21"/>
  <c r="A50" i="21"/>
  <c r="B50" i="21"/>
  <c r="A51" i="21"/>
  <c r="B51" i="21"/>
  <c r="A52" i="21"/>
  <c r="B52" i="21"/>
  <c r="A53" i="21"/>
  <c r="B53" i="21"/>
  <c r="A54" i="21"/>
  <c r="B54" i="21"/>
  <c r="A55" i="21"/>
  <c r="B55" i="21"/>
  <c r="A56" i="21"/>
  <c r="B56" i="21"/>
  <c r="A57" i="21"/>
  <c r="B57" i="21"/>
  <c r="A58" i="21"/>
  <c r="B58" i="21"/>
  <c r="A59" i="21"/>
  <c r="B59" i="21"/>
  <c r="A60" i="21"/>
  <c r="B60" i="21"/>
  <c r="A61" i="21"/>
  <c r="B61" i="21"/>
  <c r="A62" i="21"/>
  <c r="B62" i="21"/>
  <c r="A63" i="21"/>
  <c r="B63" i="21"/>
  <c r="A64" i="21"/>
  <c r="B64" i="21"/>
  <c r="A65" i="21"/>
  <c r="B65" i="21"/>
  <c r="A66" i="21"/>
  <c r="B66" i="21"/>
  <c r="A67" i="21"/>
  <c r="B67" i="21"/>
  <c r="A68" i="21"/>
  <c r="B68" i="21"/>
  <c r="A69" i="21"/>
  <c r="B69" i="21"/>
  <c r="A70" i="21"/>
  <c r="B70" i="21"/>
  <c r="A71" i="21"/>
  <c r="B71" i="21"/>
  <c r="A72" i="21"/>
  <c r="B72" i="21"/>
  <c r="A73" i="21"/>
  <c r="B73" i="21"/>
  <c r="A74" i="21"/>
  <c r="B74" i="21"/>
  <c r="A75" i="21"/>
  <c r="B75" i="21"/>
  <c r="A76" i="21"/>
  <c r="B76" i="21"/>
  <c r="A77" i="21"/>
  <c r="B77" i="21"/>
  <c r="A78" i="21"/>
  <c r="B78" i="21"/>
  <c r="A79" i="21"/>
  <c r="B79" i="21"/>
  <c r="A80" i="21"/>
  <c r="B80" i="21"/>
  <c r="A81" i="21"/>
  <c r="B81" i="21"/>
  <c r="A82" i="21"/>
  <c r="B82" i="21"/>
  <c r="A83" i="21"/>
  <c r="B83" i="21"/>
  <c r="A84" i="21"/>
  <c r="B84" i="21"/>
  <c r="A85" i="21"/>
  <c r="B85" i="21"/>
  <c r="A86" i="21"/>
  <c r="B86" i="21"/>
  <c r="A87" i="21"/>
  <c r="B87" i="21"/>
  <c r="A88" i="21"/>
  <c r="B88" i="21"/>
  <c r="A89" i="21"/>
  <c r="B89" i="21"/>
  <c r="A90" i="21"/>
  <c r="B90" i="21"/>
  <c r="A91" i="21"/>
  <c r="B91" i="21"/>
  <c r="A92" i="21"/>
  <c r="B92" i="21"/>
  <c r="A93" i="21"/>
  <c r="B93" i="21"/>
  <c r="A94" i="21"/>
  <c r="B94" i="21"/>
  <c r="A95" i="21"/>
  <c r="B95" i="21"/>
  <c r="A96" i="21"/>
  <c r="B96" i="21"/>
  <c r="A97" i="21"/>
  <c r="B97" i="21"/>
  <c r="A98" i="21"/>
  <c r="B98" i="21"/>
  <c r="A99" i="21"/>
  <c r="B99" i="21"/>
  <c r="A100" i="21"/>
  <c r="B100" i="21"/>
  <c r="A101" i="21"/>
  <c r="B101" i="21"/>
  <c r="B33" i="21"/>
  <c r="A33" i="21"/>
  <c r="D20" i="20" l="1"/>
  <c r="D19" i="20"/>
  <c r="F20" i="18"/>
  <c r="D20" i="18"/>
  <c r="D19" i="18"/>
  <c r="D19" i="19" s="1"/>
  <c r="F20" i="22"/>
  <c r="C62" i="4"/>
  <c r="C61" i="4"/>
  <c r="E58" i="4"/>
  <c r="E53" i="4"/>
  <c r="E22" i="4" s="1"/>
  <c r="E48" i="4"/>
  <c r="E17" i="4" s="1"/>
  <c r="N28" i="22"/>
  <c r="F19" i="22"/>
  <c r="L28" i="22"/>
  <c r="B27" i="22"/>
  <c r="B27" i="18"/>
  <c r="K11" i="1"/>
  <c r="J68" i="1"/>
  <c r="J69" i="1" s="1"/>
  <c r="J70" i="1"/>
  <c r="N70" i="1" s="1"/>
  <c r="N28" i="18"/>
  <c r="I52" i="4"/>
  <c r="H48" i="4"/>
  <c r="F19" i="21"/>
  <c r="N28" i="21"/>
  <c r="J40" i="4"/>
  <c r="T48" i="21"/>
  <c r="W47" i="21"/>
  <c r="Q46" i="21"/>
  <c r="R46" i="21"/>
  <c r="T46" i="21" s="1"/>
  <c r="S46" i="21"/>
  <c r="L28" i="21"/>
  <c r="F20" i="21"/>
  <c r="T48" i="20"/>
  <c r="W47" i="20"/>
  <c r="S46" i="20"/>
  <c r="Q46" i="20"/>
  <c r="R46" i="20"/>
  <c r="N28" i="20"/>
  <c r="L28" i="20"/>
  <c r="F20" i="20"/>
  <c r="N28" i="19"/>
  <c r="L28" i="19"/>
  <c r="D20" i="19"/>
  <c r="J44" i="1"/>
  <c r="J46" i="1"/>
  <c r="M46" i="1" s="1"/>
  <c r="Q46" i="1" s="1"/>
  <c r="J153" i="1"/>
  <c r="M153" i="1"/>
  <c r="D154" i="1"/>
  <c r="E154" i="1"/>
  <c r="F154" i="1"/>
  <c r="G154" i="1"/>
  <c r="H154" i="1"/>
  <c r="J155" i="1"/>
  <c r="J154" i="1" s="1"/>
  <c r="M154" i="1" s="1"/>
  <c r="Q154" i="1" s="1"/>
  <c r="K5" i="1"/>
  <c r="L5" i="1" s="1"/>
  <c r="J5" i="1"/>
  <c r="K6" i="1"/>
  <c r="D6" i="1"/>
  <c r="E6" i="1"/>
  <c r="F6" i="1"/>
  <c r="G6" i="1"/>
  <c r="H6" i="1"/>
  <c r="K7" i="1"/>
  <c r="J7" i="1"/>
  <c r="L7" i="1" s="1"/>
  <c r="N153" i="1"/>
  <c r="R153" i="1"/>
  <c r="Q153" i="1"/>
  <c r="M155" i="1"/>
  <c r="Q155" i="1" s="1"/>
  <c r="J82" i="1"/>
  <c r="J80" i="1"/>
  <c r="M70" i="1"/>
  <c r="Q70" i="1" s="1"/>
  <c r="M68" i="1"/>
  <c r="R144" i="1"/>
  <c r="Q144" i="1"/>
  <c r="R142" i="1"/>
  <c r="Q142" i="1"/>
  <c r="J132" i="1"/>
  <c r="N132" i="1"/>
  <c r="R132" i="1" s="1"/>
  <c r="M132" i="1"/>
  <c r="Q132" i="1" s="1"/>
  <c r="J130" i="1"/>
  <c r="J131" i="1"/>
  <c r="N130" i="1"/>
  <c r="R130" i="1"/>
  <c r="M130" i="1"/>
  <c r="Q130" i="1"/>
  <c r="R119" i="1"/>
  <c r="Q119" i="1"/>
  <c r="P119" i="1"/>
  <c r="R118" i="1"/>
  <c r="Q118" i="1"/>
  <c r="P118" i="1"/>
  <c r="R117" i="1"/>
  <c r="Q117" i="1"/>
  <c r="P117" i="1"/>
  <c r="R93" i="1"/>
  <c r="Q93" i="1"/>
  <c r="P93" i="1"/>
  <c r="N68" i="1"/>
  <c r="Q68" i="1"/>
  <c r="R58" i="1"/>
  <c r="Q58" i="1"/>
  <c r="P58" i="1"/>
  <c r="R57" i="1"/>
  <c r="Q57" i="1"/>
  <c r="P57" i="1"/>
  <c r="R56" i="1"/>
  <c r="Q56" i="1"/>
  <c r="P56" i="1"/>
  <c r="N46" i="1"/>
  <c r="R46" i="1" s="1"/>
  <c r="M44" i="1"/>
  <c r="N44" i="1"/>
  <c r="Q95" i="1"/>
  <c r="Q94" i="1"/>
  <c r="D45" i="1"/>
  <c r="H81" i="1"/>
  <c r="G81" i="1"/>
  <c r="F81" i="1"/>
  <c r="E81" i="1"/>
  <c r="D81" i="1"/>
  <c r="J23" i="1"/>
  <c r="R34" i="1"/>
  <c r="R35" i="1" s="1"/>
  <c r="R25" i="1"/>
  <c r="O12" i="1"/>
  <c r="R95" i="1"/>
  <c r="P11" i="1"/>
  <c r="M23" i="1"/>
  <c r="J26" i="1"/>
  <c r="M26" i="1" s="1"/>
  <c r="J25" i="1"/>
  <c r="J24" i="1" s="1"/>
  <c r="N24" i="1" s="1"/>
  <c r="M25" i="1"/>
  <c r="R70" i="1"/>
  <c r="Q107" i="1"/>
  <c r="R107" i="1"/>
  <c r="R94" i="1"/>
  <c r="M24" i="1"/>
  <c r="M27" i="1" s="1"/>
  <c r="H24" i="1"/>
  <c r="G24" i="1"/>
  <c r="F24" i="1"/>
  <c r="E24" i="1"/>
  <c r="D24" i="1"/>
  <c r="N23" i="1"/>
  <c r="J14" i="1"/>
  <c r="J16" i="1"/>
  <c r="G69" i="1"/>
  <c r="D69" i="1"/>
  <c r="E69" i="1"/>
  <c r="F69" i="1"/>
  <c r="H69" i="1"/>
  <c r="D131" i="1"/>
  <c r="E131" i="1"/>
  <c r="F131" i="1"/>
  <c r="G131" i="1"/>
  <c r="H131" i="1"/>
  <c r="P37" i="1"/>
  <c r="P36" i="1"/>
  <c r="P35" i="1"/>
  <c r="F35" i="1"/>
  <c r="Q37" i="1"/>
  <c r="Q36" i="1"/>
  <c r="Q35" i="1"/>
  <c r="O37" i="1"/>
  <c r="O36" i="1"/>
  <c r="O35" i="1"/>
  <c r="P95" i="1"/>
  <c r="P94" i="1"/>
  <c r="V96" i="1"/>
  <c r="V59" i="1"/>
  <c r="V120" i="1"/>
  <c r="J15" i="1"/>
  <c r="H15" i="1"/>
  <c r="G15" i="1"/>
  <c r="F15" i="1"/>
  <c r="E15" i="1"/>
  <c r="D15" i="1"/>
  <c r="H45" i="1"/>
  <c r="G45" i="1"/>
  <c r="F45" i="1"/>
  <c r="E45" i="1"/>
  <c r="H35" i="1"/>
  <c r="W93" i="1"/>
  <c r="W94" i="1"/>
  <c r="W56" i="1"/>
  <c r="Y56" i="1" s="1"/>
  <c r="W58" i="1"/>
  <c r="W117" i="1"/>
  <c r="W57" i="1"/>
  <c r="AH57" i="1" s="1"/>
  <c r="W7" i="1"/>
  <c r="Y7" i="1" s="1"/>
  <c r="W95" i="1"/>
  <c r="W119" i="1"/>
  <c r="W118" i="1"/>
  <c r="Z7" i="1"/>
  <c r="AC7" i="1" s="1"/>
  <c r="AH7" i="1"/>
  <c r="AK7" i="1" s="1"/>
  <c r="Z56" i="1"/>
  <c r="AF56" i="1" s="1"/>
  <c r="AH56" i="1"/>
  <c r="Y58" i="1"/>
  <c r="Z58" i="1" s="1"/>
  <c r="AH58" i="1"/>
  <c r="AN58" i="1" s="1"/>
  <c r="Y94" i="1"/>
  <c r="Z94" i="1" s="1"/>
  <c r="AF94" i="1"/>
  <c r="AH94" i="1"/>
  <c r="AN94" i="1"/>
  <c r="Y57" i="1"/>
  <c r="Z57" i="1" s="1"/>
  <c r="AE57" i="1" s="1"/>
  <c r="AN57" i="1"/>
  <c r="Y93" i="1"/>
  <c r="Z93" i="1" s="1"/>
  <c r="AH93" i="1"/>
  <c r="Y118" i="1"/>
  <c r="Z118" i="1"/>
  <c r="AA118" i="1" s="1"/>
  <c r="AH118" i="1"/>
  <c r="AN118" i="1"/>
  <c r="Y119" i="1"/>
  <c r="Z119" i="1" s="1"/>
  <c r="AE119" i="1"/>
  <c r="AH119" i="1"/>
  <c r="AN119" i="1"/>
  <c r="Y117" i="1"/>
  <c r="Z117" i="1" s="1"/>
  <c r="AE117" i="1"/>
  <c r="AH117" i="1"/>
  <c r="AN117" i="1"/>
  <c r="AE7" i="1"/>
  <c r="AC56" i="1"/>
  <c r="AD56" i="1"/>
  <c r="AE56" i="1"/>
  <c r="AB56" i="1"/>
  <c r="AD118" i="1"/>
  <c r="AF118" i="1"/>
  <c r="AC94" i="1"/>
  <c r="AB7" i="1"/>
  <c r="AD58" i="1"/>
  <c r="AC57" i="1"/>
  <c r="AA94" i="1"/>
  <c r="AC58" i="1"/>
  <c r="AD7" i="1"/>
  <c r="AE58" i="1"/>
  <c r="AF7" i="1"/>
  <c r="AD94" i="1"/>
  <c r="AB119" i="1"/>
  <c r="AB117" i="1"/>
  <c r="AC119" i="1"/>
  <c r="AF119" i="1"/>
  <c r="AB93" i="1"/>
  <c r="AD117" i="1"/>
  <c r="AD119" i="1"/>
  <c r="AK57" i="1"/>
  <c r="AQ57" i="1"/>
  <c r="AL57" i="1"/>
  <c r="AR57" i="1"/>
  <c r="AI57" i="1"/>
  <c r="AO57" i="1"/>
  <c r="AJ57" i="1"/>
  <c r="AP57" i="1"/>
  <c r="AL7" i="1"/>
  <c r="AJ7" i="1"/>
  <c r="AJ119" i="1"/>
  <c r="AP119" i="1" s="1"/>
  <c r="AK119" i="1"/>
  <c r="AQ119" i="1" s="1"/>
  <c r="AI119" i="1"/>
  <c r="AO119" i="1" s="1"/>
  <c r="AL119" i="1"/>
  <c r="AR119" i="1" s="1"/>
  <c r="AI94" i="1"/>
  <c r="AO94" i="1" s="1"/>
  <c r="AJ94" i="1"/>
  <c r="AP94" i="1" s="1"/>
  <c r="AK94" i="1"/>
  <c r="AQ94" i="1" s="1"/>
  <c r="AL94" i="1"/>
  <c r="AR94" i="1" s="1"/>
  <c r="AJ58" i="1"/>
  <c r="AP58" i="1" s="1"/>
  <c r="AI58" i="1"/>
  <c r="AO58" i="1" s="1"/>
  <c r="AL58" i="1"/>
  <c r="AR58" i="1" s="1"/>
  <c r="AL117" i="1"/>
  <c r="AR117" i="1"/>
  <c r="AJ117" i="1"/>
  <c r="AP117" i="1"/>
  <c r="AK117" i="1"/>
  <c r="AQ117" i="1"/>
  <c r="AI117" i="1"/>
  <c r="AO117" i="1"/>
  <c r="AK118" i="1"/>
  <c r="AQ118" i="1"/>
  <c r="AJ118" i="1"/>
  <c r="AP118" i="1"/>
  <c r="AL118" i="1"/>
  <c r="AR118" i="1"/>
  <c r="AI118" i="1"/>
  <c r="AO118" i="1"/>
  <c r="M28" i="1" l="1"/>
  <c r="AN93" i="1"/>
  <c r="AJ93" i="1"/>
  <c r="AP93" i="1" s="1"/>
  <c r="AL93" i="1"/>
  <c r="AR93" i="1" s="1"/>
  <c r="AK93" i="1"/>
  <c r="AQ93" i="1" s="1"/>
  <c r="AI93" i="1"/>
  <c r="AO93" i="1" s="1"/>
  <c r="AK58" i="1"/>
  <c r="AQ58" i="1" s="1"/>
  <c r="AB57" i="1"/>
  <c r="AE93" i="1"/>
  <c r="AC93" i="1"/>
  <c r="AF93" i="1"/>
  <c r="AD93" i="1"/>
  <c r="AB58" i="1"/>
  <c r="AF58" i="1"/>
  <c r="AN56" i="1"/>
  <c r="AL56" i="1"/>
  <c r="AR56" i="1" s="1"/>
  <c r="AI56" i="1"/>
  <c r="AO56" i="1" s="1"/>
  <c r="AJ56" i="1"/>
  <c r="AP56" i="1" s="1"/>
  <c r="AK56" i="1"/>
  <c r="AQ56" i="1" s="1"/>
  <c r="Y95" i="1"/>
  <c r="Z95" i="1" s="1"/>
  <c r="AH95" i="1"/>
  <c r="W5" i="1"/>
  <c r="L8" i="1"/>
  <c r="M29" i="1" s="1"/>
  <c r="AF57" i="1"/>
  <c r="AD57" i="1"/>
  <c r="AA57" i="1"/>
  <c r="AC117" i="1"/>
  <c r="AF117" i="1"/>
  <c r="AC118" i="1"/>
  <c r="AE118" i="1"/>
  <c r="AB118" i="1"/>
  <c r="AE94" i="1"/>
  <c r="AB94" i="1"/>
  <c r="F19" i="18"/>
  <c r="F95" i="18" s="1"/>
  <c r="L28" i="18"/>
  <c r="AI7" i="1"/>
  <c r="J6" i="1"/>
  <c r="L6" i="1" s="1"/>
  <c r="W6" i="1" s="1"/>
  <c r="U48" i="21"/>
  <c r="V48" i="21"/>
  <c r="M69" i="1"/>
  <c r="M71" i="1" s="1"/>
  <c r="N69" i="1"/>
  <c r="R36" i="1"/>
  <c r="R37" i="1"/>
  <c r="M131" i="1"/>
  <c r="N131" i="1"/>
  <c r="G48" i="4"/>
  <c r="N82" i="1"/>
  <c r="R82" i="1" s="1"/>
  <c r="M82" i="1"/>
  <c r="Q82" i="1" s="1"/>
  <c r="U48" i="20"/>
  <c r="V48" i="20"/>
  <c r="U46" i="21"/>
  <c r="V47" i="21"/>
  <c r="K68" i="1"/>
  <c r="K153" i="1"/>
  <c r="K155" i="1"/>
  <c r="L155" i="1" s="1"/>
  <c r="K26" i="1"/>
  <c r="L26" i="1" s="1"/>
  <c r="K16" i="1"/>
  <c r="L16" i="1" s="1"/>
  <c r="W16" i="1" s="1"/>
  <c r="K70" i="1"/>
  <c r="L70" i="1" s="1"/>
  <c r="K82" i="1"/>
  <c r="L82" i="1" s="1"/>
  <c r="P82" i="1" s="1"/>
  <c r="K130" i="1"/>
  <c r="K25" i="1"/>
  <c r="L25" i="1" s="1"/>
  <c r="K14" i="1"/>
  <c r="K80" i="1"/>
  <c r="K132" i="1"/>
  <c r="L132" i="1" s="1"/>
  <c r="K23" i="1"/>
  <c r="K44" i="1"/>
  <c r="R44" i="1"/>
  <c r="K46" i="1"/>
  <c r="L46" i="1" s="1"/>
  <c r="N26" i="1"/>
  <c r="R68" i="1"/>
  <c r="N71" i="1"/>
  <c r="N154" i="1"/>
  <c r="N155" i="1"/>
  <c r="R155" i="1" s="1"/>
  <c r="M156" i="1"/>
  <c r="J45" i="1"/>
  <c r="T46" i="20"/>
  <c r="G53" i="4"/>
  <c r="Q44" i="1"/>
  <c r="J81" i="1"/>
  <c r="N80" i="1"/>
  <c r="M80" i="1"/>
  <c r="N25" i="1"/>
  <c r="N27" i="1" s="1"/>
  <c r="I47" i="4"/>
  <c r="H37" i="22"/>
  <c r="H41" i="22"/>
  <c r="H45" i="22"/>
  <c r="H49" i="22"/>
  <c r="H53" i="22"/>
  <c r="H57" i="22"/>
  <c r="H61" i="22"/>
  <c r="H65" i="22"/>
  <c r="H69" i="22"/>
  <c r="H73" i="22"/>
  <c r="H77" i="22"/>
  <c r="H81" i="22"/>
  <c r="H85" i="22"/>
  <c r="H89" i="22"/>
  <c r="H93" i="22"/>
  <c r="H97" i="22"/>
  <c r="H101" i="22"/>
  <c r="N99" i="22"/>
  <c r="N95" i="22"/>
  <c r="N91" i="22"/>
  <c r="N87" i="22"/>
  <c r="N83" i="22"/>
  <c r="N79" i="22"/>
  <c r="N75" i="22"/>
  <c r="N71" i="22"/>
  <c r="N67" i="22"/>
  <c r="N63" i="22"/>
  <c r="N59" i="22"/>
  <c r="N55" i="22"/>
  <c r="N51" i="22"/>
  <c r="N47" i="22"/>
  <c r="N43" i="22"/>
  <c r="N39" i="22"/>
  <c r="H38" i="22"/>
  <c r="H43" i="22"/>
  <c r="H48" i="22"/>
  <c r="H54" i="22"/>
  <c r="H59" i="22"/>
  <c r="H64" i="22"/>
  <c r="H70" i="22"/>
  <c r="H75" i="22"/>
  <c r="H80" i="22"/>
  <c r="H86" i="22"/>
  <c r="H91" i="22"/>
  <c r="H96" i="22"/>
  <c r="H33" i="22"/>
  <c r="N97" i="22"/>
  <c r="N92" i="22"/>
  <c r="N86" i="22"/>
  <c r="N81" i="22"/>
  <c r="N76" i="22"/>
  <c r="N70" i="22"/>
  <c r="N65" i="22"/>
  <c r="N60" i="22"/>
  <c r="N54" i="22"/>
  <c r="N49" i="22"/>
  <c r="N44" i="22"/>
  <c r="N38" i="22"/>
  <c r="N34" i="22"/>
  <c r="H34" i="22"/>
  <c r="H39" i="22"/>
  <c r="H44" i="22"/>
  <c r="H50" i="22"/>
  <c r="H55" i="22"/>
  <c r="H60" i="22"/>
  <c r="H66" i="22"/>
  <c r="H71" i="22"/>
  <c r="H76" i="22"/>
  <c r="H82" i="22"/>
  <c r="H87" i="22"/>
  <c r="H92" i="22"/>
  <c r="H98" i="22"/>
  <c r="N101" i="22"/>
  <c r="N96" i="22"/>
  <c r="H35" i="22"/>
  <c r="H46" i="22"/>
  <c r="H56" i="22"/>
  <c r="H67" i="22"/>
  <c r="H78" i="22"/>
  <c r="H88" i="22"/>
  <c r="H99" i="22"/>
  <c r="N94" i="22"/>
  <c r="N88" i="22"/>
  <c r="N80" i="22"/>
  <c r="N73" i="22"/>
  <c r="N66" i="22"/>
  <c r="N58" i="22"/>
  <c r="N52" i="22"/>
  <c r="N45" i="22"/>
  <c r="N37" i="22"/>
  <c r="H36" i="22"/>
  <c r="E18" i="4" s="1"/>
  <c r="E41" i="4" s="1"/>
  <c r="H47" i="22"/>
  <c r="H58" i="22"/>
  <c r="H68" i="22"/>
  <c r="H79" i="22"/>
  <c r="H90" i="22"/>
  <c r="H100" i="22"/>
  <c r="N93" i="22"/>
  <c r="N85" i="22"/>
  <c r="N78" i="22"/>
  <c r="N72" i="22"/>
  <c r="N64" i="22"/>
  <c r="N57" i="22"/>
  <c r="N50" i="22"/>
  <c r="N42" i="22"/>
  <c r="N36" i="22"/>
  <c r="E24" i="4" s="1"/>
  <c r="H40" i="22"/>
  <c r="H51" i="22"/>
  <c r="H62" i="22"/>
  <c r="H72" i="22"/>
  <c r="H83" i="22"/>
  <c r="H94" i="22"/>
  <c r="N100" i="22"/>
  <c r="N90" i="22"/>
  <c r="N84" i="22"/>
  <c r="N77" i="22"/>
  <c r="N69" i="22"/>
  <c r="N62" i="22"/>
  <c r="N56" i="22"/>
  <c r="N48" i="22"/>
  <c r="N41" i="22"/>
  <c r="N35" i="22"/>
  <c r="H42" i="22"/>
  <c r="H52" i="22"/>
  <c r="H63" i="22"/>
  <c r="H74" i="22"/>
  <c r="H84" i="22"/>
  <c r="H95" i="22"/>
  <c r="N98" i="22"/>
  <c r="N89" i="22"/>
  <c r="N82" i="22"/>
  <c r="N74" i="22"/>
  <c r="N68" i="22"/>
  <c r="N61" i="22"/>
  <c r="N53" i="22"/>
  <c r="N46" i="22"/>
  <c r="N40" i="22"/>
  <c r="N33" i="22"/>
  <c r="H101" i="18"/>
  <c r="H97" i="18"/>
  <c r="H93" i="18"/>
  <c r="H89" i="18"/>
  <c r="H85" i="18"/>
  <c r="H81" i="18"/>
  <c r="H77" i="18"/>
  <c r="H73" i="18"/>
  <c r="H69" i="18"/>
  <c r="H65" i="18"/>
  <c r="H61" i="18"/>
  <c r="H57" i="18"/>
  <c r="H53" i="18"/>
  <c r="H49" i="18"/>
  <c r="H45" i="18"/>
  <c r="H41" i="18"/>
  <c r="H37" i="18"/>
  <c r="H33" i="18"/>
  <c r="H98" i="18"/>
  <c r="H92" i="18"/>
  <c r="H87" i="18"/>
  <c r="H82" i="18"/>
  <c r="H76" i="18"/>
  <c r="H71" i="18"/>
  <c r="H66" i="18"/>
  <c r="H60" i="18"/>
  <c r="H55" i="18"/>
  <c r="H50" i="18"/>
  <c r="H44" i="18"/>
  <c r="H39" i="18"/>
  <c r="H34" i="18"/>
  <c r="N99" i="18"/>
  <c r="N95" i="18"/>
  <c r="N91" i="18"/>
  <c r="N87" i="18"/>
  <c r="N83" i="18"/>
  <c r="N79" i="18"/>
  <c r="N75" i="18"/>
  <c r="N71" i="18"/>
  <c r="N67" i="18"/>
  <c r="N63" i="18"/>
  <c r="N59" i="18"/>
  <c r="N55" i="18"/>
  <c r="N51" i="18"/>
  <c r="N47" i="18"/>
  <c r="N43" i="18"/>
  <c r="N39" i="18"/>
  <c r="N35" i="18"/>
  <c r="H96" i="18"/>
  <c r="H91" i="18"/>
  <c r="H86" i="18"/>
  <c r="H80" i="18"/>
  <c r="H75" i="18"/>
  <c r="H70" i="18"/>
  <c r="H64" i="18"/>
  <c r="H59" i="18"/>
  <c r="H54" i="18"/>
  <c r="H48" i="18"/>
  <c r="H43" i="18"/>
  <c r="H38" i="18"/>
  <c r="H95" i="18"/>
  <c r="H84" i="18"/>
  <c r="H74" i="18"/>
  <c r="H63" i="18"/>
  <c r="H52" i="18"/>
  <c r="H42" i="18"/>
  <c r="N101" i="18"/>
  <c r="N96" i="18"/>
  <c r="N90" i="18"/>
  <c r="N85" i="18"/>
  <c r="N80" i="18"/>
  <c r="N74" i="18"/>
  <c r="N69" i="18"/>
  <c r="N64" i="18"/>
  <c r="N58" i="18"/>
  <c r="N53" i="18"/>
  <c r="N48" i="18"/>
  <c r="N42" i="18"/>
  <c r="N37" i="18"/>
  <c r="H94" i="18"/>
  <c r="H83" i="18"/>
  <c r="H72" i="18"/>
  <c r="H62" i="18"/>
  <c r="H51" i="18"/>
  <c r="H40" i="18"/>
  <c r="N100" i="18"/>
  <c r="N94" i="18"/>
  <c r="N89" i="18"/>
  <c r="N84" i="18"/>
  <c r="N78" i="18"/>
  <c r="N73" i="18"/>
  <c r="N68" i="18"/>
  <c r="N62" i="18"/>
  <c r="N57" i="18"/>
  <c r="N52" i="18"/>
  <c r="N46" i="18"/>
  <c r="N41" i="18"/>
  <c r="N36" i="18"/>
  <c r="H100" i="18"/>
  <c r="H90" i="18"/>
  <c r="H79" i="18"/>
  <c r="H68" i="18"/>
  <c r="H58" i="18"/>
  <c r="H47" i="18"/>
  <c r="H36" i="18"/>
  <c r="N98" i="18"/>
  <c r="N93" i="18"/>
  <c r="N88" i="18"/>
  <c r="N82" i="18"/>
  <c r="N77" i="18"/>
  <c r="N72" i="18"/>
  <c r="N66" i="18"/>
  <c r="N61" i="18"/>
  <c r="N56" i="18"/>
  <c r="N50" i="18"/>
  <c r="N45" i="18"/>
  <c r="N40" i="18"/>
  <c r="N34" i="18"/>
  <c r="H99" i="18"/>
  <c r="H88" i="18"/>
  <c r="H78" i="18"/>
  <c r="H67" i="18"/>
  <c r="H56" i="18"/>
  <c r="H46" i="18"/>
  <c r="H35" i="18"/>
  <c r="N97" i="18"/>
  <c r="N92" i="18"/>
  <c r="N86" i="18"/>
  <c r="N81" i="18"/>
  <c r="N76" i="18"/>
  <c r="N70" i="18"/>
  <c r="N65" i="18"/>
  <c r="N60" i="18"/>
  <c r="N54" i="18"/>
  <c r="N49" i="18"/>
  <c r="N44" i="18"/>
  <c r="N38" i="18"/>
  <c r="N33" i="18"/>
  <c r="F20" i="19"/>
  <c r="H92" i="19" s="1"/>
  <c r="H99" i="20"/>
  <c r="H95" i="20"/>
  <c r="H91" i="20"/>
  <c r="H87" i="20"/>
  <c r="H83" i="20"/>
  <c r="H79" i="20"/>
  <c r="H75" i="20"/>
  <c r="H71" i="20"/>
  <c r="H67" i="20"/>
  <c r="H63" i="20"/>
  <c r="H59" i="20"/>
  <c r="H55" i="20"/>
  <c r="H51" i="20"/>
  <c r="H47" i="20"/>
  <c r="H43" i="20"/>
  <c r="H39" i="20"/>
  <c r="H35" i="20"/>
  <c r="H98" i="20"/>
  <c r="H93" i="20"/>
  <c r="H88" i="20"/>
  <c r="H82" i="20"/>
  <c r="H77" i="20"/>
  <c r="H72" i="20"/>
  <c r="H66" i="20"/>
  <c r="H61" i="20"/>
  <c r="H56" i="20"/>
  <c r="H50" i="20"/>
  <c r="H45" i="20"/>
  <c r="H40" i="20"/>
  <c r="H34" i="20"/>
  <c r="N101" i="20"/>
  <c r="N97" i="20"/>
  <c r="N93" i="20"/>
  <c r="N89" i="20"/>
  <c r="N85" i="20"/>
  <c r="N81" i="20"/>
  <c r="N77" i="20"/>
  <c r="N73" i="20"/>
  <c r="N69" i="20"/>
  <c r="N65" i="20"/>
  <c r="N61" i="20"/>
  <c r="N57" i="20"/>
  <c r="N53" i="20"/>
  <c r="N49" i="20"/>
  <c r="N45" i="20"/>
  <c r="N41" i="20"/>
  <c r="N37" i="20"/>
  <c r="N33" i="20"/>
  <c r="H97" i="20"/>
  <c r="H92" i="20"/>
  <c r="H86" i="20"/>
  <c r="H81" i="20"/>
  <c r="H76" i="20"/>
  <c r="H70" i="20"/>
  <c r="H65" i="20"/>
  <c r="H60" i="20"/>
  <c r="H54" i="20"/>
  <c r="H49" i="20"/>
  <c r="H44" i="20"/>
  <c r="H38" i="20"/>
  <c r="H33" i="20"/>
  <c r="H18" i="4" s="1"/>
  <c r="I18" i="4" s="1"/>
  <c r="H96" i="20"/>
  <c r="H85" i="20"/>
  <c r="H74" i="20"/>
  <c r="H64" i="20"/>
  <c r="H53" i="20"/>
  <c r="H42" i="20"/>
  <c r="N100" i="20"/>
  <c r="N95" i="20"/>
  <c r="N90" i="20"/>
  <c r="N84" i="20"/>
  <c r="N79" i="20"/>
  <c r="N74" i="20"/>
  <c r="N68" i="20"/>
  <c r="N63" i="20"/>
  <c r="N58" i="20"/>
  <c r="N52" i="20"/>
  <c r="N47" i="20"/>
  <c r="N42" i="20"/>
  <c r="N36" i="20"/>
  <c r="H19" i="4" s="1"/>
  <c r="I19" i="4" s="1"/>
  <c r="H94" i="20"/>
  <c r="H84" i="20"/>
  <c r="H73" i="20"/>
  <c r="H62" i="20"/>
  <c r="H52" i="20"/>
  <c r="H41" i="20"/>
  <c r="N99" i="20"/>
  <c r="N94" i="20"/>
  <c r="N88" i="20"/>
  <c r="N83" i="20"/>
  <c r="N78" i="20"/>
  <c r="N72" i="20"/>
  <c r="N67" i="20"/>
  <c r="N62" i="20"/>
  <c r="N56" i="20"/>
  <c r="N51" i="20"/>
  <c r="N46" i="20"/>
  <c r="N40" i="20"/>
  <c r="N35" i="20"/>
  <c r="H101" i="20"/>
  <c r="H90" i="20"/>
  <c r="H80" i="20"/>
  <c r="H69" i="20"/>
  <c r="H58" i="20"/>
  <c r="H48" i="20"/>
  <c r="H37" i="20"/>
  <c r="N98" i="20"/>
  <c r="N92" i="20"/>
  <c r="N87" i="20"/>
  <c r="N82" i="20"/>
  <c r="N76" i="20"/>
  <c r="N71" i="20"/>
  <c r="N66" i="20"/>
  <c r="N60" i="20"/>
  <c r="N55" i="20"/>
  <c r="N50" i="20"/>
  <c r="N44" i="20"/>
  <c r="N39" i="20"/>
  <c r="N34" i="20"/>
  <c r="H100" i="20"/>
  <c r="H89" i="20"/>
  <c r="H78" i="20"/>
  <c r="H68" i="20"/>
  <c r="H57" i="20"/>
  <c r="H46" i="20"/>
  <c r="H36" i="20"/>
  <c r="N96" i="20"/>
  <c r="N91" i="20"/>
  <c r="N86" i="20"/>
  <c r="N80" i="20"/>
  <c r="N75" i="20"/>
  <c r="N70" i="20"/>
  <c r="N64" i="20"/>
  <c r="N59" i="20"/>
  <c r="N54" i="20"/>
  <c r="N48" i="20"/>
  <c r="N43" i="20"/>
  <c r="N38" i="20"/>
  <c r="F34" i="22"/>
  <c r="F36" i="22"/>
  <c r="F38" i="22"/>
  <c r="F40" i="22"/>
  <c r="F42" i="22"/>
  <c r="F44" i="22"/>
  <c r="F46" i="22"/>
  <c r="F48" i="22"/>
  <c r="F50" i="22"/>
  <c r="F52" i="22"/>
  <c r="F54" i="22"/>
  <c r="F56" i="22"/>
  <c r="F58" i="22"/>
  <c r="F60" i="22"/>
  <c r="F62" i="22"/>
  <c r="F64" i="22"/>
  <c r="F66" i="22"/>
  <c r="F68" i="22"/>
  <c r="F70" i="22"/>
  <c r="F72" i="22"/>
  <c r="F74" i="22"/>
  <c r="F76" i="22"/>
  <c r="F78" i="22"/>
  <c r="F80" i="22"/>
  <c r="F82" i="22"/>
  <c r="F84" i="22"/>
  <c r="F86" i="22"/>
  <c r="F88" i="22"/>
  <c r="F90" i="22"/>
  <c r="F92" i="22"/>
  <c r="F94" i="22"/>
  <c r="F96" i="22"/>
  <c r="F98" i="22"/>
  <c r="F100" i="22"/>
  <c r="F41" i="22"/>
  <c r="F49" i="22"/>
  <c r="F57" i="22"/>
  <c r="F65" i="22"/>
  <c r="F73" i="22"/>
  <c r="F81" i="22"/>
  <c r="F89" i="22"/>
  <c r="F97" i="22"/>
  <c r="F47" i="22"/>
  <c r="F53" i="22"/>
  <c r="F59" i="22"/>
  <c r="F79" i="22"/>
  <c r="F85" i="22"/>
  <c r="F91" i="22"/>
  <c r="F39" i="22"/>
  <c r="F45" i="22"/>
  <c r="F51" i="22"/>
  <c r="F71" i="22"/>
  <c r="F77" i="22"/>
  <c r="F83" i="22"/>
  <c r="F33" i="22"/>
  <c r="L100" i="22"/>
  <c r="L98" i="22"/>
  <c r="L96" i="22"/>
  <c r="L94" i="22"/>
  <c r="L92" i="22"/>
  <c r="L90" i="22"/>
  <c r="L88" i="22"/>
  <c r="L86" i="22"/>
  <c r="L84" i="22"/>
  <c r="L82" i="22"/>
  <c r="L80" i="22"/>
  <c r="L78" i="22"/>
  <c r="L76" i="22"/>
  <c r="L74" i="22"/>
  <c r="L72" i="22"/>
  <c r="L70" i="22"/>
  <c r="L68" i="22"/>
  <c r="L66" i="22"/>
  <c r="L64" i="22"/>
  <c r="L62" i="22"/>
  <c r="L60" i="22"/>
  <c r="L58" i="22"/>
  <c r="L56" i="22"/>
  <c r="L54" i="22"/>
  <c r="L52" i="22"/>
  <c r="L50" i="22"/>
  <c r="L48" i="22"/>
  <c r="L46" i="22"/>
  <c r="L44" i="22"/>
  <c r="L42" i="22"/>
  <c r="L40" i="22"/>
  <c r="L38" i="22"/>
  <c r="L36" i="22"/>
  <c r="F63" i="22"/>
  <c r="F69" i="22"/>
  <c r="F87" i="22"/>
  <c r="L97" i="22"/>
  <c r="L89" i="22"/>
  <c r="L81" i="22"/>
  <c r="L73" i="22"/>
  <c r="L65" i="22"/>
  <c r="L57" i="22"/>
  <c r="L49" i="22"/>
  <c r="L41" i="22"/>
  <c r="F43" i="22"/>
  <c r="F61" i="22"/>
  <c r="F67" i="22"/>
  <c r="L99" i="22"/>
  <c r="L91" i="22"/>
  <c r="L83" i="22"/>
  <c r="L75" i="22"/>
  <c r="L67" i="22"/>
  <c r="L59" i="22"/>
  <c r="L51" i="22"/>
  <c r="L43" i="22"/>
  <c r="L35" i="22"/>
  <c r="L33" i="22"/>
  <c r="F37" i="22"/>
  <c r="F55" i="22"/>
  <c r="F95" i="22"/>
  <c r="F101" i="22"/>
  <c r="L101" i="22"/>
  <c r="L93" i="22"/>
  <c r="L85" i="22"/>
  <c r="L77" i="22"/>
  <c r="L69" i="22"/>
  <c r="L61" i="22"/>
  <c r="L53" i="22"/>
  <c r="L45" i="22"/>
  <c r="F99" i="22"/>
  <c r="L95" i="22"/>
  <c r="L63" i="22"/>
  <c r="F35" i="22"/>
  <c r="F93" i="22"/>
  <c r="L87" i="22"/>
  <c r="L55" i="22"/>
  <c r="F75" i="22"/>
  <c r="L79" i="22"/>
  <c r="L47" i="22"/>
  <c r="L37" i="22"/>
  <c r="L34" i="22"/>
  <c r="L71" i="22"/>
  <c r="L39" i="22"/>
  <c r="F19" i="19"/>
  <c r="F95" i="19" s="1"/>
  <c r="F19" i="20"/>
  <c r="F94" i="20" s="1"/>
  <c r="F101" i="18"/>
  <c r="F69" i="18"/>
  <c r="F66" i="18"/>
  <c r="L98" i="18"/>
  <c r="L34" i="18"/>
  <c r="L47" i="18"/>
  <c r="H101" i="21"/>
  <c r="H97" i="21"/>
  <c r="H93" i="21"/>
  <c r="H89" i="21"/>
  <c r="H85" i="21"/>
  <c r="H81" i="21"/>
  <c r="H77" i="21"/>
  <c r="H73" i="21"/>
  <c r="H69" i="21"/>
  <c r="H65" i="21"/>
  <c r="H61" i="21"/>
  <c r="H57" i="21"/>
  <c r="H53" i="21"/>
  <c r="H49" i="21"/>
  <c r="H45" i="21"/>
  <c r="H41" i="21"/>
  <c r="H37" i="21"/>
  <c r="H33" i="21"/>
  <c r="N37" i="21"/>
  <c r="N41" i="21"/>
  <c r="N45" i="21"/>
  <c r="N49" i="21"/>
  <c r="N53" i="21"/>
  <c r="N57" i="21"/>
  <c r="N61" i="21"/>
  <c r="N65" i="21"/>
  <c r="N69" i="21"/>
  <c r="N73" i="21"/>
  <c r="N77" i="21"/>
  <c r="N81" i="21"/>
  <c r="N85" i="21"/>
  <c r="N89" i="21"/>
  <c r="N93" i="21"/>
  <c r="N97" i="21"/>
  <c r="N101" i="21"/>
  <c r="H100" i="21"/>
  <c r="H96" i="21"/>
  <c r="H92" i="21"/>
  <c r="H88" i="21"/>
  <c r="H84" i="21"/>
  <c r="H80" i="21"/>
  <c r="H76" i="21"/>
  <c r="H72" i="21"/>
  <c r="H68" i="21"/>
  <c r="H64" i="21"/>
  <c r="H60" i="21"/>
  <c r="H56" i="21"/>
  <c r="H52" i="21"/>
  <c r="H48" i="21"/>
  <c r="H44" i="21"/>
  <c r="H40" i="21"/>
  <c r="H36" i="21"/>
  <c r="N34" i="21"/>
  <c r="N38" i="21"/>
  <c r="N42" i="21"/>
  <c r="N46" i="21"/>
  <c r="N50" i="21"/>
  <c r="N54" i="21"/>
  <c r="N58" i="21"/>
  <c r="N62" i="21"/>
  <c r="N66" i="21"/>
  <c r="N70" i="21"/>
  <c r="N74" i="21"/>
  <c r="N78" i="21"/>
  <c r="N82" i="21"/>
  <c r="N86" i="21"/>
  <c r="N90" i="21"/>
  <c r="N94" i="21"/>
  <c r="N98" i="21"/>
  <c r="N33" i="21"/>
  <c r="H99" i="21"/>
  <c r="H95" i="21"/>
  <c r="H91" i="21"/>
  <c r="H87" i="21"/>
  <c r="H83" i="21"/>
  <c r="H79" i="21"/>
  <c r="H75" i="21"/>
  <c r="H71" i="21"/>
  <c r="H67" i="21"/>
  <c r="H63" i="21"/>
  <c r="H59" i="21"/>
  <c r="H55" i="21"/>
  <c r="H51" i="21"/>
  <c r="H47" i="21"/>
  <c r="H43" i="21"/>
  <c r="H86" i="21"/>
  <c r="H70" i="21"/>
  <c r="H54" i="21"/>
  <c r="H39" i="21"/>
  <c r="N35" i="21"/>
  <c r="N43" i="21"/>
  <c r="N51" i="21"/>
  <c r="N59" i="21"/>
  <c r="N67" i="21"/>
  <c r="N75" i="21"/>
  <c r="N83" i="21"/>
  <c r="N91" i="21"/>
  <c r="N99" i="21"/>
  <c r="H98" i="21"/>
  <c r="H82" i="21"/>
  <c r="H66" i="21"/>
  <c r="H50" i="21"/>
  <c r="H38" i="21"/>
  <c r="N36" i="21"/>
  <c r="N44" i="21"/>
  <c r="N52" i="21"/>
  <c r="N60" i="21"/>
  <c r="N68" i="21"/>
  <c r="N76" i="21"/>
  <c r="N84" i="21"/>
  <c r="N92" i="21"/>
  <c r="N100" i="21"/>
  <c r="H94" i="21"/>
  <c r="H78" i="21"/>
  <c r="H62" i="21"/>
  <c r="H46" i="21"/>
  <c r="H35" i="21"/>
  <c r="N39" i="21"/>
  <c r="N47" i="21"/>
  <c r="N55" i="21"/>
  <c r="N63" i="21"/>
  <c r="N71" i="21"/>
  <c r="N79" i="21"/>
  <c r="N87" i="21"/>
  <c r="N95" i="21"/>
  <c r="H90" i="21"/>
  <c r="H74" i="21"/>
  <c r="H58" i="21"/>
  <c r="H42" i="21"/>
  <c r="H34" i="21"/>
  <c r="N40" i="21"/>
  <c r="N48" i="21"/>
  <c r="N56" i="21"/>
  <c r="N64" i="21"/>
  <c r="N72" i="21"/>
  <c r="N80" i="21"/>
  <c r="N88" i="21"/>
  <c r="N96" i="21"/>
  <c r="L35" i="21"/>
  <c r="L37" i="21"/>
  <c r="L39" i="21"/>
  <c r="L41" i="21"/>
  <c r="L43" i="21"/>
  <c r="L45" i="21"/>
  <c r="L47" i="21"/>
  <c r="L49" i="21"/>
  <c r="L51" i="21"/>
  <c r="L53" i="21"/>
  <c r="L55" i="21"/>
  <c r="L57" i="21"/>
  <c r="L59" i="21"/>
  <c r="L61" i="21"/>
  <c r="L63" i="21"/>
  <c r="L65" i="21"/>
  <c r="L67" i="21"/>
  <c r="L69" i="21"/>
  <c r="L71" i="21"/>
  <c r="L73" i="21"/>
  <c r="L75" i="21"/>
  <c r="L77" i="21"/>
  <c r="L79" i="21"/>
  <c r="L81" i="21"/>
  <c r="L83" i="21"/>
  <c r="L85" i="21"/>
  <c r="L87" i="21"/>
  <c r="L89" i="21"/>
  <c r="L91" i="21"/>
  <c r="L93" i="21"/>
  <c r="L95" i="21"/>
  <c r="L97" i="21"/>
  <c r="L99" i="21"/>
  <c r="L101" i="21"/>
  <c r="F101" i="21"/>
  <c r="F99" i="21"/>
  <c r="F97" i="21"/>
  <c r="F95" i="21"/>
  <c r="F93" i="21"/>
  <c r="F91" i="21"/>
  <c r="F89" i="21"/>
  <c r="F87" i="21"/>
  <c r="F85" i="21"/>
  <c r="F83" i="21"/>
  <c r="F81" i="21"/>
  <c r="F79" i="21"/>
  <c r="F77" i="21"/>
  <c r="F75" i="21"/>
  <c r="F73" i="21"/>
  <c r="F71" i="21"/>
  <c r="F69" i="21"/>
  <c r="F67" i="21"/>
  <c r="F65" i="21"/>
  <c r="F63" i="21"/>
  <c r="F61" i="21"/>
  <c r="F59" i="21"/>
  <c r="F57" i="21"/>
  <c r="F55" i="21"/>
  <c r="F53" i="21"/>
  <c r="F51" i="21"/>
  <c r="F49" i="21"/>
  <c r="F47" i="21"/>
  <c r="F45" i="21"/>
  <c r="F43" i="21"/>
  <c r="F41" i="21"/>
  <c r="F39" i="21"/>
  <c r="F37" i="21"/>
  <c r="F35" i="21"/>
  <c r="F33" i="21"/>
  <c r="L34" i="21"/>
  <c r="L36" i="21"/>
  <c r="L38" i="21"/>
  <c r="L40" i="21"/>
  <c r="L42" i="21"/>
  <c r="L44" i="21"/>
  <c r="L46" i="21"/>
  <c r="L48" i="21"/>
  <c r="L50" i="21"/>
  <c r="L52" i="21"/>
  <c r="L54" i="21"/>
  <c r="L56" i="21"/>
  <c r="L58" i="21"/>
  <c r="L60" i="21"/>
  <c r="L62" i="21"/>
  <c r="L64" i="21"/>
  <c r="F94" i="21"/>
  <c r="F86" i="21"/>
  <c r="F78" i="21"/>
  <c r="F70" i="21"/>
  <c r="F62" i="21"/>
  <c r="F54" i="21"/>
  <c r="F46" i="21"/>
  <c r="F38" i="21"/>
  <c r="L66" i="21"/>
  <c r="L74" i="21"/>
  <c r="L82" i="21"/>
  <c r="L90" i="21"/>
  <c r="L98" i="21"/>
  <c r="F96" i="21"/>
  <c r="F88" i="21"/>
  <c r="F80" i="21"/>
  <c r="F72" i="21"/>
  <c r="F64" i="21"/>
  <c r="F56" i="21"/>
  <c r="F48" i="21"/>
  <c r="F40" i="21"/>
  <c r="L72" i="21"/>
  <c r="L80" i="21"/>
  <c r="L88" i="21"/>
  <c r="L96" i="21"/>
  <c r="F98" i="21"/>
  <c r="F90" i="21"/>
  <c r="F82" i="21"/>
  <c r="F74" i="21"/>
  <c r="F66" i="21"/>
  <c r="F58" i="21"/>
  <c r="F50" i="21"/>
  <c r="F42" i="21"/>
  <c r="F34" i="21"/>
  <c r="L70" i="21"/>
  <c r="L78" i="21"/>
  <c r="L86" i="21"/>
  <c r="L94" i="21"/>
  <c r="F100" i="21"/>
  <c r="F92" i="21"/>
  <c r="F84" i="21"/>
  <c r="F76" i="21"/>
  <c r="F68" i="21"/>
  <c r="F60" i="21"/>
  <c r="F52" i="21"/>
  <c r="F44" i="21"/>
  <c r="F36" i="21"/>
  <c r="L68" i="21"/>
  <c r="L76" i="21"/>
  <c r="L84" i="21"/>
  <c r="L92" i="21"/>
  <c r="L100" i="21"/>
  <c r="L33" i="21"/>
  <c r="V46" i="21"/>
  <c r="E28" i="4"/>
  <c r="E10" i="4"/>
  <c r="H53" i="4"/>
  <c r="E40" i="4"/>
  <c r="G17" i="4"/>
  <c r="G40" i="4" s="1"/>
  <c r="E19" i="4"/>
  <c r="E42" i="4" s="1"/>
  <c r="H17" i="4"/>
  <c r="I17" i="4" s="1"/>
  <c r="I48" i="4"/>
  <c r="I49" i="4" s="1"/>
  <c r="G22" i="4"/>
  <c r="E27" i="4"/>
  <c r="E23" i="4"/>
  <c r="L66" i="18" l="1"/>
  <c r="L49" i="20"/>
  <c r="F75" i="20"/>
  <c r="L84" i="20"/>
  <c r="L71" i="20"/>
  <c r="F42" i="20"/>
  <c r="L60" i="20"/>
  <c r="F74" i="20"/>
  <c r="J42" i="4"/>
  <c r="J41" i="4"/>
  <c r="F99" i="20"/>
  <c r="F45" i="20"/>
  <c r="L37" i="18"/>
  <c r="L57" i="18"/>
  <c r="L83" i="18"/>
  <c r="L82" i="18"/>
  <c r="F37" i="18"/>
  <c r="L50" i="18"/>
  <c r="L101" i="18"/>
  <c r="F70" i="18"/>
  <c r="L69" i="18"/>
  <c r="L42" i="18"/>
  <c r="L90" i="18"/>
  <c r="F52" i="18"/>
  <c r="F85" i="18"/>
  <c r="L89" i="18"/>
  <c r="L79" i="18"/>
  <c r="L51" i="18"/>
  <c r="F42" i="18"/>
  <c r="L58" i="18"/>
  <c r="L74" i="18"/>
  <c r="F72" i="18"/>
  <c r="F38" i="18"/>
  <c r="F53" i="18"/>
  <c r="L41" i="18"/>
  <c r="F64" i="18"/>
  <c r="L95" i="18"/>
  <c r="L85" i="18"/>
  <c r="L67" i="18"/>
  <c r="F74" i="18"/>
  <c r="L46" i="18"/>
  <c r="L62" i="18"/>
  <c r="L78" i="18"/>
  <c r="L94" i="18"/>
  <c r="F34" i="18"/>
  <c r="F54" i="18"/>
  <c r="F84" i="18"/>
  <c r="F61" i="18"/>
  <c r="F93" i="18"/>
  <c r="L73" i="18"/>
  <c r="L63" i="18"/>
  <c r="L53" i="18"/>
  <c r="L35" i="18"/>
  <c r="L99" i="18"/>
  <c r="L38" i="18"/>
  <c r="L54" i="18"/>
  <c r="L70" i="18"/>
  <c r="L86" i="18"/>
  <c r="F40" i="18"/>
  <c r="F98" i="18"/>
  <c r="F86" i="18"/>
  <c r="F45" i="18"/>
  <c r="F77" i="18"/>
  <c r="H24" i="4"/>
  <c r="I24" i="4" s="1"/>
  <c r="N75" i="19"/>
  <c r="H96" i="19"/>
  <c r="N46" i="19"/>
  <c r="H47" i="19"/>
  <c r="N88" i="19"/>
  <c r="L91" i="20"/>
  <c r="L55" i="20"/>
  <c r="L77" i="20"/>
  <c r="L52" i="20"/>
  <c r="L82" i="20"/>
  <c r="F97" i="20"/>
  <c r="F79" i="20"/>
  <c r="F40" i="20"/>
  <c r="F64" i="20"/>
  <c r="F96" i="20"/>
  <c r="L35" i="20"/>
  <c r="L57" i="20"/>
  <c r="L37" i="20"/>
  <c r="L40" i="20"/>
  <c r="L64" i="20"/>
  <c r="L96" i="20"/>
  <c r="F73" i="20"/>
  <c r="F53" i="20"/>
  <c r="F52" i="20"/>
  <c r="F82" i="20"/>
  <c r="L43" i="20"/>
  <c r="L97" i="20"/>
  <c r="L69" i="20"/>
  <c r="L42" i="20"/>
  <c r="L74" i="20"/>
  <c r="F65" i="20"/>
  <c r="F39" i="20"/>
  <c r="F101" i="20"/>
  <c r="F60" i="20"/>
  <c r="F84" i="20"/>
  <c r="M72" i="1"/>
  <c r="M73" i="1"/>
  <c r="N29" i="1"/>
  <c r="N28" i="1"/>
  <c r="F36" i="18"/>
  <c r="F68" i="18"/>
  <c r="F100" i="18"/>
  <c r="F41" i="18"/>
  <c r="F49" i="18"/>
  <c r="F57" i="18"/>
  <c r="F65" i="18"/>
  <c r="F73" i="18"/>
  <c r="F81" i="18"/>
  <c r="F89" i="18"/>
  <c r="F97" i="18"/>
  <c r="Q105" i="1"/>
  <c r="K45" i="1"/>
  <c r="L45" i="1" s="1"/>
  <c r="L44" i="1"/>
  <c r="L80" i="1"/>
  <c r="K81" i="1"/>
  <c r="L81" i="1" s="1"/>
  <c r="P81" i="1" s="1"/>
  <c r="Y16" i="1"/>
  <c r="Z16" i="1" s="1"/>
  <c r="AH16" i="1"/>
  <c r="K154" i="1"/>
  <c r="L154" i="1" s="1"/>
  <c r="L153" i="1"/>
  <c r="L33" i="18"/>
  <c r="L65" i="18"/>
  <c r="L97" i="18"/>
  <c r="L55" i="18"/>
  <c r="L87" i="18"/>
  <c r="L45" i="18"/>
  <c r="L77" i="18"/>
  <c r="F96" i="18"/>
  <c r="L59" i="18"/>
  <c r="L91" i="18"/>
  <c r="F58" i="18"/>
  <c r="L36" i="18"/>
  <c r="L44" i="18"/>
  <c r="L52" i="18"/>
  <c r="L60" i="18"/>
  <c r="L68" i="18"/>
  <c r="L76" i="18"/>
  <c r="L84" i="18"/>
  <c r="L92" i="18"/>
  <c r="L100" i="18"/>
  <c r="F88" i="18"/>
  <c r="F82" i="18"/>
  <c r="F46" i="18"/>
  <c r="F78" i="18"/>
  <c r="F44" i="18"/>
  <c r="F76" i="18"/>
  <c r="F35" i="18"/>
  <c r="F43" i="18"/>
  <c r="F51" i="18"/>
  <c r="F59" i="18"/>
  <c r="F67" i="18"/>
  <c r="F75" i="18"/>
  <c r="F83" i="18"/>
  <c r="F91" i="18"/>
  <c r="F99" i="18"/>
  <c r="N61" i="19"/>
  <c r="H86" i="19"/>
  <c r="Q80" i="1"/>
  <c r="V46" i="20"/>
  <c r="V47" i="20"/>
  <c r="U46" i="20"/>
  <c r="R154" i="1"/>
  <c r="N156" i="1"/>
  <c r="N73" i="1"/>
  <c r="N72" i="1"/>
  <c r="P46" i="1"/>
  <c r="W46" i="1"/>
  <c r="K69" i="1"/>
  <c r="L69" i="1" s="1"/>
  <c r="L68" i="1"/>
  <c r="R131" i="1"/>
  <c r="N133" i="1"/>
  <c r="R69" i="1"/>
  <c r="Y5" i="1"/>
  <c r="Z5" i="1" s="1"/>
  <c r="AH5" i="1"/>
  <c r="Q143" i="1"/>
  <c r="L130" i="1"/>
  <c r="K131" i="1"/>
  <c r="L131" i="1" s="1"/>
  <c r="M133" i="1"/>
  <c r="Q131" i="1"/>
  <c r="Q69" i="1"/>
  <c r="G58" i="4"/>
  <c r="G27" i="4" s="1"/>
  <c r="AN95" i="1"/>
  <c r="AL95" i="1"/>
  <c r="AR95" i="1" s="1"/>
  <c r="AI95" i="1"/>
  <c r="AO95" i="1" s="1"/>
  <c r="AJ95" i="1"/>
  <c r="AP95" i="1" s="1"/>
  <c r="AK95" i="1"/>
  <c r="AQ95" i="1" s="1"/>
  <c r="N83" i="1"/>
  <c r="R80" i="1"/>
  <c r="N45" i="1"/>
  <c r="M45" i="1"/>
  <c r="R105" i="1"/>
  <c r="L23" i="1"/>
  <c r="K24" i="1"/>
  <c r="L24" i="1" s="1"/>
  <c r="P107" i="1"/>
  <c r="W107" i="1"/>
  <c r="L49" i="18"/>
  <c r="L81" i="18"/>
  <c r="L39" i="18"/>
  <c r="L71" i="18"/>
  <c r="F80" i="18"/>
  <c r="L61" i="18"/>
  <c r="L93" i="18"/>
  <c r="L43" i="18"/>
  <c r="L75" i="18"/>
  <c r="F48" i="18"/>
  <c r="F90" i="18"/>
  <c r="L40" i="18"/>
  <c r="L48" i="18"/>
  <c r="L56" i="18"/>
  <c r="L64" i="18"/>
  <c r="L72" i="18"/>
  <c r="L80" i="18"/>
  <c r="L88" i="18"/>
  <c r="L96" i="18"/>
  <c r="F56" i="18"/>
  <c r="F50" i="18"/>
  <c r="F33" i="18"/>
  <c r="F62" i="18"/>
  <c r="F94" i="18"/>
  <c r="F60" i="18"/>
  <c r="F92" i="18"/>
  <c r="F39" i="18"/>
  <c r="F47" i="18"/>
  <c r="F55" i="18"/>
  <c r="F63" i="18"/>
  <c r="F71" i="18"/>
  <c r="F79" i="18"/>
  <c r="F87" i="18"/>
  <c r="L75" i="20"/>
  <c r="L89" i="20"/>
  <c r="F81" i="20"/>
  <c r="F35" i="20"/>
  <c r="L50" i="20"/>
  <c r="L72" i="20"/>
  <c r="L92" i="20"/>
  <c r="F59" i="20"/>
  <c r="F71" i="20"/>
  <c r="F85" i="20"/>
  <c r="F50" i="20"/>
  <c r="F72" i="20"/>
  <c r="F92" i="20"/>
  <c r="H89" i="19"/>
  <c r="H98" i="19"/>
  <c r="N81" i="1"/>
  <c r="R81" i="1" s="1"/>
  <c r="M81" i="1"/>
  <c r="Q81" i="1" s="1"/>
  <c r="R143" i="1"/>
  <c r="M157" i="1"/>
  <c r="M158" i="1"/>
  <c r="Q106" i="1"/>
  <c r="R106" i="1"/>
  <c r="P132" i="1"/>
  <c r="W132" i="1"/>
  <c r="L14" i="1"/>
  <c r="K15" i="1"/>
  <c r="L15" i="1" s="1"/>
  <c r="W15" i="1" s="1"/>
  <c r="P144" i="1"/>
  <c r="W144" i="1"/>
  <c r="F53" i="4"/>
  <c r="P70" i="1"/>
  <c r="W70" i="1"/>
  <c r="P155" i="1"/>
  <c r="W155" i="1"/>
  <c r="Y6" i="1"/>
  <c r="Z6" i="1" s="1"/>
  <c r="AH6" i="1"/>
  <c r="AD95" i="1"/>
  <c r="AF95" i="1"/>
  <c r="AB95" i="1"/>
  <c r="AE95" i="1"/>
  <c r="AC95" i="1"/>
  <c r="H22" i="4"/>
  <c r="I22" i="4" s="1"/>
  <c r="L59" i="20"/>
  <c r="L99" i="20"/>
  <c r="L65" i="20"/>
  <c r="L39" i="20"/>
  <c r="L79" i="20"/>
  <c r="L45" i="20"/>
  <c r="L93" i="20"/>
  <c r="L34" i="20"/>
  <c r="L44" i="20"/>
  <c r="L56" i="20"/>
  <c r="L66" i="20"/>
  <c r="L76" i="20"/>
  <c r="L88" i="20"/>
  <c r="L98" i="20"/>
  <c r="F51" i="20"/>
  <c r="F41" i="20"/>
  <c r="F47" i="20"/>
  <c r="F87" i="20"/>
  <c r="F69" i="20"/>
  <c r="F34" i="20"/>
  <c r="F44" i="20"/>
  <c r="F56" i="20"/>
  <c r="F66" i="20"/>
  <c r="F76" i="20"/>
  <c r="F88" i="20"/>
  <c r="F98" i="20"/>
  <c r="L67" i="20"/>
  <c r="L33" i="20"/>
  <c r="L81" i="20"/>
  <c r="L47" i="20"/>
  <c r="L87" i="20"/>
  <c r="L61" i="20"/>
  <c r="L101" i="20"/>
  <c r="L36" i="20"/>
  <c r="L48" i="20"/>
  <c r="L58" i="20"/>
  <c r="L68" i="20"/>
  <c r="L80" i="20"/>
  <c r="L90" i="20"/>
  <c r="L100" i="20"/>
  <c r="F43" i="20"/>
  <c r="F57" i="20"/>
  <c r="F55" i="20"/>
  <c r="F37" i="20"/>
  <c r="F77" i="20"/>
  <c r="F36" i="20"/>
  <c r="F48" i="20"/>
  <c r="F58" i="20"/>
  <c r="F68" i="20"/>
  <c r="F80" i="20"/>
  <c r="F90" i="20"/>
  <c r="F100" i="20"/>
  <c r="N54" i="19"/>
  <c r="N39" i="19"/>
  <c r="H85" i="19"/>
  <c r="H46" i="19"/>
  <c r="N90" i="19"/>
  <c r="H65" i="19"/>
  <c r="N72" i="19"/>
  <c r="H77" i="19"/>
  <c r="H80" i="19"/>
  <c r="N97" i="19"/>
  <c r="N82" i="19"/>
  <c r="N67" i="19"/>
  <c r="N47" i="19"/>
  <c r="H90" i="19"/>
  <c r="N40" i="19"/>
  <c r="H34" i="19"/>
  <c r="H48" i="19"/>
  <c r="N33" i="19"/>
  <c r="H73" i="19"/>
  <c r="H42" i="19"/>
  <c r="N89" i="19"/>
  <c r="N69" i="19"/>
  <c r="H43" i="19"/>
  <c r="N56" i="19"/>
  <c r="H55" i="19"/>
  <c r="H64" i="19"/>
  <c r="E29" i="4"/>
  <c r="N38" i="19"/>
  <c r="N59" i="19"/>
  <c r="N81" i="19"/>
  <c r="H41" i="19"/>
  <c r="H83" i="19"/>
  <c r="N45" i="19"/>
  <c r="N66" i="19"/>
  <c r="N87" i="19"/>
  <c r="H53" i="19"/>
  <c r="H95" i="19"/>
  <c r="N51" i="19"/>
  <c r="N73" i="19"/>
  <c r="N94" i="19"/>
  <c r="H57" i="19"/>
  <c r="H99" i="19"/>
  <c r="N53" i="19"/>
  <c r="N74" i="19"/>
  <c r="N95" i="19"/>
  <c r="H58" i="19"/>
  <c r="H101" i="19"/>
  <c r="H49" i="19"/>
  <c r="H70" i="19"/>
  <c r="H91" i="19"/>
  <c r="N44" i="19"/>
  <c r="N60" i="19"/>
  <c r="N76" i="19"/>
  <c r="N92" i="19"/>
  <c r="H39" i="19"/>
  <c r="H61" i="19"/>
  <c r="H82" i="19"/>
  <c r="H36" i="19"/>
  <c r="H52" i="19"/>
  <c r="H68" i="19"/>
  <c r="H84" i="19"/>
  <c r="H100" i="19"/>
  <c r="N43" i="19"/>
  <c r="N65" i="19"/>
  <c r="N86" i="19"/>
  <c r="H51" i="19"/>
  <c r="H94" i="19"/>
  <c r="N50" i="19"/>
  <c r="N71" i="19"/>
  <c r="N93" i="19"/>
  <c r="H63" i="19"/>
  <c r="N35" i="19"/>
  <c r="N57" i="19"/>
  <c r="N78" i="19"/>
  <c r="N99" i="19"/>
  <c r="H67" i="19"/>
  <c r="N37" i="19"/>
  <c r="N58" i="19"/>
  <c r="N79" i="19"/>
  <c r="N101" i="19"/>
  <c r="H69" i="19"/>
  <c r="H33" i="19"/>
  <c r="H54" i="19"/>
  <c r="H75" i="19"/>
  <c r="H97" i="19"/>
  <c r="N48" i="19"/>
  <c r="N64" i="19"/>
  <c r="N80" i="19"/>
  <c r="N96" i="19"/>
  <c r="H45" i="19"/>
  <c r="H66" i="19"/>
  <c r="H87" i="19"/>
  <c r="H40" i="19"/>
  <c r="H56" i="19"/>
  <c r="H72" i="19"/>
  <c r="H88" i="19"/>
  <c r="N49" i="19"/>
  <c r="N70" i="19"/>
  <c r="N91" i="19"/>
  <c r="H62" i="19"/>
  <c r="N34" i="19"/>
  <c r="N55" i="19"/>
  <c r="N77" i="19"/>
  <c r="N98" i="19"/>
  <c r="H74" i="19"/>
  <c r="N41" i="19"/>
  <c r="N62" i="19"/>
  <c r="N83" i="19"/>
  <c r="H35" i="19"/>
  <c r="H78" i="19"/>
  <c r="N42" i="19"/>
  <c r="N63" i="19"/>
  <c r="N85" i="19"/>
  <c r="H37" i="19"/>
  <c r="H79" i="19"/>
  <c r="H38" i="19"/>
  <c r="H59" i="19"/>
  <c r="H81" i="19"/>
  <c r="N36" i="19"/>
  <c r="N52" i="19"/>
  <c r="N68" i="19"/>
  <c r="N84" i="19"/>
  <c r="N100" i="19"/>
  <c r="H50" i="19"/>
  <c r="H71" i="19"/>
  <c r="H93" i="19"/>
  <c r="H44" i="19"/>
  <c r="H60" i="19"/>
  <c r="H76" i="19"/>
  <c r="L62" i="19"/>
  <c r="L94" i="19"/>
  <c r="L44" i="19"/>
  <c r="L76" i="19"/>
  <c r="L34" i="19"/>
  <c r="L66" i="19"/>
  <c r="L98" i="19"/>
  <c r="L64" i="19"/>
  <c r="L96" i="19"/>
  <c r="F72" i="19"/>
  <c r="L39" i="19"/>
  <c r="L47" i="19"/>
  <c r="L55" i="19"/>
  <c r="L63" i="19"/>
  <c r="L71" i="19"/>
  <c r="L79" i="19"/>
  <c r="L87" i="19"/>
  <c r="L95" i="19"/>
  <c r="F35" i="19"/>
  <c r="F45" i="19"/>
  <c r="F41" i="19"/>
  <c r="F80" i="19"/>
  <c r="F55" i="19"/>
  <c r="F34" i="19"/>
  <c r="F42" i="19"/>
  <c r="F50" i="19"/>
  <c r="F58" i="19"/>
  <c r="F66" i="19"/>
  <c r="F92" i="19"/>
  <c r="F90" i="19"/>
  <c r="F73" i="19"/>
  <c r="F81" i="19"/>
  <c r="F89" i="19"/>
  <c r="F97" i="19"/>
  <c r="L38" i="19"/>
  <c r="L70" i="19"/>
  <c r="F59" i="19"/>
  <c r="L52" i="19"/>
  <c r="L84" i="19"/>
  <c r="L42" i="19"/>
  <c r="L74" i="19"/>
  <c r="L40" i="19"/>
  <c r="L72" i="19"/>
  <c r="F43" i="19"/>
  <c r="L33" i="19"/>
  <c r="L41" i="19"/>
  <c r="L49" i="19"/>
  <c r="L57" i="19"/>
  <c r="L65" i="19"/>
  <c r="L73" i="19"/>
  <c r="L81" i="19"/>
  <c r="L89" i="19"/>
  <c r="L97" i="19"/>
  <c r="F51" i="19"/>
  <c r="F61" i="19"/>
  <c r="F49" i="19"/>
  <c r="F96" i="19"/>
  <c r="F63" i="19"/>
  <c r="F36" i="19"/>
  <c r="F44" i="19"/>
  <c r="F52" i="19"/>
  <c r="F60" i="19"/>
  <c r="F68" i="19"/>
  <c r="F100" i="19"/>
  <c r="F98" i="19"/>
  <c r="F75" i="19"/>
  <c r="F83" i="19"/>
  <c r="F91" i="19"/>
  <c r="F99" i="19"/>
  <c r="L46" i="19"/>
  <c r="L78" i="19"/>
  <c r="F86" i="19"/>
  <c r="L60" i="19"/>
  <c r="L92" i="19"/>
  <c r="L50" i="19"/>
  <c r="L82" i="19"/>
  <c r="L48" i="19"/>
  <c r="L80" i="19"/>
  <c r="F37" i="19"/>
  <c r="L35" i="19"/>
  <c r="L43" i="19"/>
  <c r="L51" i="19"/>
  <c r="L59" i="19"/>
  <c r="L67" i="19"/>
  <c r="L75" i="19"/>
  <c r="L83" i="19"/>
  <c r="L91" i="19"/>
  <c r="L99" i="19"/>
  <c r="F67" i="19"/>
  <c r="F88" i="19"/>
  <c r="F57" i="19"/>
  <c r="F39" i="19"/>
  <c r="F78" i="19"/>
  <c r="F38" i="19"/>
  <c r="F46" i="19"/>
  <c r="F54" i="19"/>
  <c r="F62" i="19"/>
  <c r="F76" i="19"/>
  <c r="F74" i="19"/>
  <c r="F69" i="19"/>
  <c r="F77" i="19"/>
  <c r="F85" i="19"/>
  <c r="F93" i="19"/>
  <c r="F101" i="19"/>
  <c r="L51" i="20"/>
  <c r="L83" i="20"/>
  <c r="L41" i="20"/>
  <c r="L73" i="20"/>
  <c r="F49" i="20"/>
  <c r="L63" i="20"/>
  <c r="L95" i="20"/>
  <c r="L53" i="20"/>
  <c r="L85" i="20"/>
  <c r="F67" i="20"/>
  <c r="L38" i="20"/>
  <c r="L46" i="20"/>
  <c r="L54" i="20"/>
  <c r="L62" i="20"/>
  <c r="L70" i="20"/>
  <c r="L78" i="20"/>
  <c r="L86" i="20"/>
  <c r="L94" i="20"/>
  <c r="F33" i="20"/>
  <c r="F83" i="20"/>
  <c r="F91" i="20"/>
  <c r="F89" i="20"/>
  <c r="F63" i="20"/>
  <c r="F95" i="20"/>
  <c r="F61" i="20"/>
  <c r="F93" i="20"/>
  <c r="F38" i="20"/>
  <c r="F46" i="20"/>
  <c r="F54" i="20"/>
  <c r="F62" i="20"/>
  <c r="F70" i="20"/>
  <c r="F78" i="20"/>
  <c r="F86" i="20"/>
  <c r="L54" i="19"/>
  <c r="L86" i="19"/>
  <c r="L36" i="19"/>
  <c r="L68" i="19"/>
  <c r="L100" i="19"/>
  <c r="L58" i="19"/>
  <c r="L90" i="19"/>
  <c r="L56" i="19"/>
  <c r="L88" i="19"/>
  <c r="F53" i="19"/>
  <c r="L37" i="19"/>
  <c r="L45" i="19"/>
  <c r="L53" i="19"/>
  <c r="L61" i="19"/>
  <c r="L69" i="19"/>
  <c r="L77" i="19"/>
  <c r="L85" i="19"/>
  <c r="L93" i="19"/>
  <c r="L101" i="19"/>
  <c r="F70" i="19"/>
  <c r="F33" i="19"/>
  <c r="F65" i="19"/>
  <c r="F47" i="19"/>
  <c r="F94" i="19"/>
  <c r="F40" i="19"/>
  <c r="F48" i="19"/>
  <c r="F56" i="19"/>
  <c r="F64" i="19"/>
  <c r="F84" i="19"/>
  <c r="F82" i="19"/>
  <c r="F71" i="19"/>
  <c r="F79" i="19"/>
  <c r="F87" i="19"/>
  <c r="H40" i="4"/>
  <c r="I40" i="4" s="1"/>
  <c r="I53" i="4"/>
  <c r="I54" i="4" s="1"/>
  <c r="H23" i="4"/>
  <c r="I23" i="4" s="1"/>
  <c r="H42" i="4"/>
  <c r="I42" i="4" s="1"/>
  <c r="H41" i="4"/>
  <c r="I41" i="4" s="1"/>
  <c r="F22" i="4" l="1"/>
  <c r="F24" i="4"/>
  <c r="AH144" i="1"/>
  <c r="Y144" i="1"/>
  <c r="Z144" i="1" s="1"/>
  <c r="AH132" i="1"/>
  <c r="Y132" i="1"/>
  <c r="Z132" i="1" s="1"/>
  <c r="F23" i="4"/>
  <c r="L27" i="1"/>
  <c r="L28" i="1" s="1"/>
  <c r="R45" i="1"/>
  <c r="N47" i="1"/>
  <c r="P130" i="1"/>
  <c r="L133" i="1"/>
  <c r="W130" i="1"/>
  <c r="AF5" i="1"/>
  <c r="AD5" i="1"/>
  <c r="AB5" i="1"/>
  <c r="AE5" i="1"/>
  <c r="AC5" i="1"/>
  <c r="M83" i="1"/>
  <c r="AB16" i="1"/>
  <c r="AC16" i="1"/>
  <c r="AE16" i="1"/>
  <c r="AD16" i="1"/>
  <c r="AF16" i="1"/>
  <c r="P45" i="1"/>
  <c r="W45" i="1"/>
  <c r="AH155" i="1"/>
  <c r="Y155" i="1"/>
  <c r="Z155" i="1" s="1"/>
  <c r="W14" i="1"/>
  <c r="L17" i="1"/>
  <c r="L18" i="1" s="1"/>
  <c r="Y107" i="1"/>
  <c r="Z107" i="1" s="1"/>
  <c r="AH107" i="1"/>
  <c r="Q45" i="1"/>
  <c r="M47" i="1"/>
  <c r="W131" i="1"/>
  <c r="P131" i="1"/>
  <c r="AK5" i="1"/>
  <c r="AL5" i="1"/>
  <c r="AJ5" i="1"/>
  <c r="AI5" i="1"/>
  <c r="N157" i="1"/>
  <c r="N158" i="1"/>
  <c r="AJ6" i="1"/>
  <c r="AL6" i="1"/>
  <c r="AK6" i="1"/>
  <c r="AI6" i="1"/>
  <c r="Y70" i="1"/>
  <c r="Z70" i="1" s="1"/>
  <c r="AH70" i="1"/>
  <c r="F48" i="4"/>
  <c r="P68" i="1"/>
  <c r="L71" i="1"/>
  <c r="W68" i="1"/>
  <c r="P105" i="1"/>
  <c r="W105" i="1"/>
  <c r="P142" i="1"/>
  <c r="W142" i="1"/>
  <c r="P153" i="1"/>
  <c r="L156" i="1"/>
  <c r="W153" i="1"/>
  <c r="N135" i="1"/>
  <c r="N134" i="1"/>
  <c r="Y46" i="1"/>
  <c r="Z46" i="1" s="1"/>
  <c r="AH46" i="1"/>
  <c r="AK16" i="1"/>
  <c r="AJ16" i="1"/>
  <c r="AL16" i="1"/>
  <c r="AI16" i="1"/>
  <c r="P44" i="1"/>
  <c r="W44" i="1"/>
  <c r="L47" i="1"/>
  <c r="L48" i="1" s="1"/>
  <c r="L49" i="1" s="1"/>
  <c r="AC6" i="1"/>
  <c r="AA6" i="1"/>
  <c r="AB6" i="1"/>
  <c r="AD6" i="1"/>
  <c r="AE6" i="1"/>
  <c r="AF6" i="1"/>
  <c r="AH15" i="1"/>
  <c r="Y15" i="1"/>
  <c r="Z15" i="1" s="1"/>
  <c r="N85" i="1"/>
  <c r="N84" i="1"/>
  <c r="M135" i="1"/>
  <c r="M134" i="1"/>
  <c r="H58" i="4"/>
  <c r="I57" i="4"/>
  <c r="F58" i="4"/>
  <c r="P69" i="1"/>
  <c r="W69" i="1"/>
  <c r="W106" i="1"/>
  <c r="P106" i="1"/>
  <c r="W143" i="1"/>
  <c r="P143" i="1"/>
  <c r="P154" i="1"/>
  <c r="W154" i="1"/>
  <c r="L83" i="1"/>
  <c r="L84" i="1" s="1"/>
  <c r="L85" i="1" s="1"/>
  <c r="P80" i="1"/>
  <c r="G18" i="4"/>
  <c r="G41" i="4" s="1"/>
  <c r="G28" i="4"/>
  <c r="G23" i="4"/>
  <c r="G24" i="4"/>
  <c r="G19" i="4"/>
  <c r="G42" i="4" s="1"/>
  <c r="G29" i="4"/>
  <c r="AH69" i="1" l="1"/>
  <c r="Y69" i="1"/>
  <c r="Z69" i="1" s="1"/>
  <c r="I58" i="4"/>
  <c r="I59" i="4" s="1"/>
  <c r="H27" i="4"/>
  <c r="I27" i="4" s="1"/>
  <c r="H28" i="4"/>
  <c r="I28" i="4" s="1"/>
  <c r="H29" i="4"/>
  <c r="I29" i="4" s="1"/>
  <c r="AE15" i="1"/>
  <c r="AA15" i="1"/>
  <c r="AF15" i="1"/>
  <c r="AC15" i="1"/>
  <c r="AD15" i="1"/>
  <c r="AB15" i="1"/>
  <c r="L157" i="1"/>
  <c r="L158" i="1" s="1"/>
  <c r="V156" i="1"/>
  <c r="V145" i="1"/>
  <c r="AH68" i="1"/>
  <c r="Y68" i="1"/>
  <c r="Z68" i="1" s="1"/>
  <c r="AN70" i="1"/>
  <c r="AJ70" i="1"/>
  <c r="AP70" i="1" s="1"/>
  <c r="AL70" i="1"/>
  <c r="AR70" i="1" s="1"/>
  <c r="AK70" i="1"/>
  <c r="AQ70" i="1" s="1"/>
  <c r="AI70" i="1"/>
  <c r="AO70" i="1" s="1"/>
  <c r="AH14" i="1"/>
  <c r="Y14" i="1"/>
  <c r="Z14" i="1" s="1"/>
  <c r="AL144" i="1"/>
  <c r="AR144" i="1" s="1"/>
  <c r="AK144" i="1"/>
  <c r="AQ144" i="1" s="1"/>
  <c r="AJ144" i="1"/>
  <c r="AP144" i="1" s="1"/>
  <c r="AI144" i="1"/>
  <c r="AO144" i="1" s="1"/>
  <c r="AN144" i="1"/>
  <c r="AH143" i="1"/>
  <c r="Y143" i="1"/>
  <c r="Z143" i="1" s="1"/>
  <c r="AL15" i="1"/>
  <c r="AJ15" i="1"/>
  <c r="AI15" i="1"/>
  <c r="AK15" i="1"/>
  <c r="Y44" i="1"/>
  <c r="Z44" i="1" s="1"/>
  <c r="AH44" i="1"/>
  <c r="Y105" i="1"/>
  <c r="Z105" i="1" s="1"/>
  <c r="AH105" i="1"/>
  <c r="L72" i="1"/>
  <c r="L73" i="1" s="1"/>
  <c r="V71" i="1"/>
  <c r="AB70" i="1"/>
  <c r="AC70" i="1"/>
  <c r="AF70" i="1"/>
  <c r="AE70" i="1"/>
  <c r="AD70" i="1"/>
  <c r="AN107" i="1"/>
  <c r="AI107" i="1"/>
  <c r="AO107" i="1" s="1"/>
  <c r="AJ107" i="1"/>
  <c r="AP107" i="1" s="1"/>
  <c r="AK107" i="1"/>
  <c r="AQ107" i="1" s="1"/>
  <c r="AL107" i="1"/>
  <c r="AR107" i="1" s="1"/>
  <c r="AC155" i="1"/>
  <c r="AF155" i="1"/>
  <c r="AB155" i="1"/>
  <c r="AD155" i="1"/>
  <c r="AE155" i="1"/>
  <c r="N49" i="1"/>
  <c r="N48" i="1"/>
  <c r="AB132" i="1"/>
  <c r="AF132" i="1"/>
  <c r="AC132" i="1"/>
  <c r="AD132" i="1"/>
  <c r="AE132" i="1"/>
  <c r="AH154" i="1"/>
  <c r="Y154" i="1"/>
  <c r="Z154" i="1" s="1"/>
  <c r="F27" i="4"/>
  <c r="F28" i="4"/>
  <c r="F29" i="4"/>
  <c r="AN46" i="1"/>
  <c r="AL46" i="1"/>
  <c r="AR46" i="1" s="1"/>
  <c r="AJ46" i="1"/>
  <c r="AP46" i="1" s="1"/>
  <c r="AI46" i="1"/>
  <c r="AO46" i="1" s="1"/>
  <c r="AK46" i="1"/>
  <c r="AQ46" i="1" s="1"/>
  <c r="Y142" i="1"/>
  <c r="Z142" i="1" s="1"/>
  <c r="AH142" i="1"/>
  <c r="V108" i="1"/>
  <c r="AH131" i="1"/>
  <c r="Y131" i="1"/>
  <c r="Z131" i="1" s="1"/>
  <c r="AF107" i="1"/>
  <c r="AD107" i="1"/>
  <c r="AC107" i="1"/>
  <c r="AB107" i="1"/>
  <c r="AE107" i="1"/>
  <c r="AN155" i="1"/>
  <c r="AJ155" i="1"/>
  <c r="AP155" i="1" s="1"/>
  <c r="AK155" i="1"/>
  <c r="AQ155" i="1" s="1"/>
  <c r="AI155" i="1"/>
  <c r="AO155" i="1" s="1"/>
  <c r="AL155" i="1"/>
  <c r="AR155" i="1" s="1"/>
  <c r="M84" i="1"/>
  <c r="M85" i="1"/>
  <c r="Y130" i="1"/>
  <c r="Z130" i="1" s="1"/>
  <c r="AH130" i="1"/>
  <c r="AN132" i="1"/>
  <c r="AK132" i="1"/>
  <c r="AQ132" i="1" s="1"/>
  <c r="AI132" i="1"/>
  <c r="AO132" i="1" s="1"/>
  <c r="AL132" i="1"/>
  <c r="AR132" i="1" s="1"/>
  <c r="AJ132" i="1"/>
  <c r="AP132" i="1" s="1"/>
  <c r="AH106" i="1"/>
  <c r="Y106" i="1"/>
  <c r="Z106" i="1" s="1"/>
  <c r="AB46" i="1"/>
  <c r="AC46" i="1"/>
  <c r="AE46" i="1"/>
  <c r="AD46" i="1"/>
  <c r="AF46" i="1"/>
  <c r="Y153" i="1"/>
  <c r="Z153" i="1" s="1"/>
  <c r="AH153" i="1"/>
  <c r="F19" i="4"/>
  <c r="F42" i="4" s="1"/>
  <c r="F17" i="4"/>
  <c r="F40" i="4" s="1"/>
  <c r="F18" i="4"/>
  <c r="F41" i="4" s="1"/>
  <c r="M49" i="1"/>
  <c r="M48" i="1"/>
  <c r="AH45" i="1"/>
  <c r="Y45" i="1"/>
  <c r="Z45" i="1" s="1"/>
  <c r="V133" i="1"/>
  <c r="L134" i="1"/>
  <c r="L135" i="1" s="1"/>
  <c r="L29" i="1"/>
  <c r="R15" i="1" s="1"/>
  <c r="R18" i="1" s="1"/>
  <c r="R19" i="1" s="1"/>
  <c r="R21" i="1" s="1"/>
  <c r="R22" i="1" s="1"/>
  <c r="R14" i="1"/>
  <c r="AD144" i="1"/>
  <c r="AB144" i="1"/>
  <c r="AC144" i="1"/>
  <c r="AE144" i="1"/>
  <c r="AF144" i="1"/>
  <c r="AA45" i="1" l="1"/>
  <c r="AD45" i="1"/>
  <c r="AC45" i="1"/>
  <c r="AB45" i="1"/>
  <c r="AF45" i="1"/>
  <c r="AE45" i="1"/>
  <c r="AC153" i="1"/>
  <c r="AD153" i="1"/>
  <c r="AF153" i="1"/>
  <c r="AE153" i="1"/>
  <c r="AB153" i="1"/>
  <c r="AI106" i="1"/>
  <c r="AO106" i="1" s="1"/>
  <c r="AJ106" i="1"/>
  <c r="AP106" i="1" s="1"/>
  <c r="AK106" i="1"/>
  <c r="AQ106" i="1" s="1"/>
  <c r="AN106" i="1"/>
  <c r="AL106" i="1"/>
  <c r="AR106" i="1" s="1"/>
  <c r="AN130" i="1"/>
  <c r="AI130" i="1"/>
  <c r="AO130" i="1" s="1"/>
  <c r="AK130" i="1"/>
  <c r="AQ130" i="1" s="1"/>
  <c r="AJ130" i="1"/>
  <c r="AP130" i="1" s="1"/>
  <c r="AL130" i="1"/>
  <c r="AR130" i="1" s="1"/>
  <c r="AC154" i="1"/>
  <c r="AF154" i="1"/>
  <c r="AB154" i="1"/>
  <c r="AA154" i="1"/>
  <c r="AD154" i="1"/>
  <c r="AE154" i="1"/>
  <c r="AN44" i="1"/>
  <c r="AL44" i="1"/>
  <c r="AR44" i="1" s="1"/>
  <c r="AI44" i="1"/>
  <c r="AO44" i="1" s="1"/>
  <c r="AK44" i="1"/>
  <c r="AQ44" i="1" s="1"/>
  <c r="AJ44" i="1"/>
  <c r="AP44" i="1" s="1"/>
  <c r="AF143" i="1"/>
  <c r="AA143" i="1"/>
  <c r="AC143" i="1"/>
  <c r="AD143" i="1"/>
  <c r="AB143" i="1"/>
  <c r="AE143" i="1"/>
  <c r="AL14" i="1"/>
  <c r="AK14" i="1"/>
  <c r="AI14" i="1"/>
  <c r="AJ14" i="1"/>
  <c r="AN45" i="1"/>
  <c r="AL45" i="1"/>
  <c r="AR45" i="1" s="1"/>
  <c r="AI45" i="1"/>
  <c r="AO45" i="1" s="1"/>
  <c r="AK45" i="1"/>
  <c r="AQ45" i="1" s="1"/>
  <c r="AJ45" i="1"/>
  <c r="AP45" i="1" s="1"/>
  <c r="AE130" i="1"/>
  <c r="AD130" i="1"/>
  <c r="AC130" i="1"/>
  <c r="AF130" i="1"/>
  <c r="AB130" i="1"/>
  <c r="AL154" i="1"/>
  <c r="AR154" i="1" s="1"/>
  <c r="AK154" i="1"/>
  <c r="AQ154" i="1" s="1"/>
  <c r="AJ154" i="1"/>
  <c r="AP154" i="1" s="1"/>
  <c r="AI154" i="1"/>
  <c r="AO154" i="1" s="1"/>
  <c r="AN154" i="1"/>
  <c r="AE44" i="1"/>
  <c r="AD44" i="1"/>
  <c r="AC44" i="1"/>
  <c r="AB44" i="1"/>
  <c r="AF44" i="1"/>
  <c r="AI143" i="1"/>
  <c r="AO143" i="1" s="1"/>
  <c r="AJ143" i="1"/>
  <c r="AP143" i="1" s="1"/>
  <c r="AK143" i="1"/>
  <c r="AQ143" i="1" s="1"/>
  <c r="AL143" i="1"/>
  <c r="AR143" i="1" s="1"/>
  <c r="AN143" i="1"/>
  <c r="AF131" i="1"/>
  <c r="AA131" i="1"/>
  <c r="AD131" i="1"/>
  <c r="AB131" i="1"/>
  <c r="AE131" i="1"/>
  <c r="AC131" i="1"/>
  <c r="AJ142" i="1"/>
  <c r="AP142" i="1" s="1"/>
  <c r="AI142" i="1"/>
  <c r="AO142" i="1" s="1"/>
  <c r="AN142" i="1"/>
  <c r="AK142" i="1"/>
  <c r="AQ142" i="1" s="1"/>
  <c r="AL142" i="1"/>
  <c r="AR142" i="1" s="1"/>
  <c r="AN105" i="1"/>
  <c r="AK105" i="1"/>
  <c r="AQ105" i="1" s="1"/>
  <c r="AL105" i="1"/>
  <c r="AR105" i="1" s="1"/>
  <c r="AI105" i="1"/>
  <c r="AO105" i="1" s="1"/>
  <c r="AJ105" i="1"/>
  <c r="AP105" i="1" s="1"/>
  <c r="AB68" i="1"/>
  <c r="AF68" i="1"/>
  <c r="AC68" i="1"/>
  <c r="AE68" i="1"/>
  <c r="AD68" i="1"/>
  <c r="AD69" i="1"/>
  <c r="AA69" i="1"/>
  <c r="AE69" i="1"/>
  <c r="AF69" i="1"/>
  <c r="AB69" i="1"/>
  <c r="AC69" i="1"/>
  <c r="AL153" i="1"/>
  <c r="AR153" i="1" s="1"/>
  <c r="AJ153" i="1"/>
  <c r="AP153" i="1" s="1"/>
  <c r="AK153" i="1"/>
  <c r="AQ153" i="1" s="1"/>
  <c r="AN153" i="1"/>
  <c r="AI153" i="1"/>
  <c r="AO153" i="1" s="1"/>
  <c r="AE106" i="1"/>
  <c r="AD106" i="1"/>
  <c r="AA106" i="1"/>
  <c r="AF106" i="1"/>
  <c r="AC106" i="1"/>
  <c r="AB106" i="1"/>
  <c r="AL131" i="1"/>
  <c r="AR131" i="1" s="1"/>
  <c r="AI131" i="1"/>
  <c r="AO131" i="1" s="1"/>
  <c r="AJ131" i="1"/>
  <c r="AP131" i="1" s="1"/>
  <c r="AN131" i="1"/>
  <c r="AK131" i="1"/>
  <c r="AQ131" i="1" s="1"/>
  <c r="AB142" i="1"/>
  <c r="AE142" i="1"/>
  <c r="AD142" i="1"/>
  <c r="AC142" i="1"/>
  <c r="AF142" i="1"/>
  <c r="AF105" i="1"/>
  <c r="AE105" i="1"/>
  <c r="AB105" i="1"/>
  <c r="AC105" i="1"/>
  <c r="AD105" i="1"/>
  <c r="AC14" i="1"/>
  <c r="AF14" i="1"/>
  <c r="AD14" i="1"/>
  <c r="AE14" i="1"/>
  <c r="AB14" i="1"/>
  <c r="AI68" i="1"/>
  <c r="AO68" i="1" s="1"/>
  <c r="AJ68" i="1"/>
  <c r="AP68" i="1" s="1"/>
  <c r="AK68" i="1"/>
  <c r="AQ68" i="1" s="1"/>
  <c r="AL68" i="1"/>
  <c r="AR68" i="1" s="1"/>
  <c r="AN68" i="1"/>
  <c r="AI69" i="1"/>
  <c r="AO69" i="1" s="1"/>
  <c r="AL69" i="1"/>
  <c r="AR69" i="1" s="1"/>
  <c r="AK69" i="1"/>
  <c r="AQ69" i="1" s="1"/>
  <c r="AN69" i="1"/>
  <c r="AJ69" i="1"/>
  <c r="AP69" i="1" s="1"/>
</calcChain>
</file>

<file path=xl/sharedStrings.xml><?xml version="1.0" encoding="utf-8"?>
<sst xmlns="http://schemas.openxmlformats.org/spreadsheetml/2006/main" count="756" uniqueCount="254">
  <si>
    <t>Onderbouw</t>
  </si>
  <si>
    <t>Bovenbouw</t>
  </si>
  <si>
    <t>maandag</t>
  </si>
  <si>
    <t>dinsdag</t>
  </si>
  <si>
    <t>woensdag</t>
  </si>
  <si>
    <t>donderdag</t>
  </si>
  <si>
    <t>vrijdag</t>
  </si>
  <si>
    <t>St Jan Baptist</t>
  </si>
  <si>
    <t>8.30-12.15</t>
  </si>
  <si>
    <t>VSO</t>
  </si>
  <si>
    <t>BSO</t>
  </si>
  <si>
    <t>NSO</t>
  </si>
  <si>
    <t>Totaal</t>
  </si>
  <si>
    <t>Gewogen</t>
  </si>
  <si>
    <t>Antonius</t>
  </si>
  <si>
    <t>Boskriek</t>
  </si>
  <si>
    <t>Buizerd</t>
  </si>
  <si>
    <t>Heilig Hart</t>
  </si>
  <si>
    <t>Palet</t>
  </si>
  <si>
    <t>Paschalis</t>
  </si>
  <si>
    <t>Paulusschool</t>
  </si>
  <si>
    <t>Roncalli</t>
  </si>
  <si>
    <t>SamSam</t>
  </si>
  <si>
    <t>Speelhoeve</t>
  </si>
  <si>
    <t>Trinoom</t>
  </si>
  <si>
    <t>Viersprong</t>
  </si>
  <si>
    <t>Wingerd</t>
  </si>
  <si>
    <t>St Jozef</t>
  </si>
  <si>
    <t>De Bolster</t>
  </si>
  <si>
    <t>De Bogaard</t>
  </si>
  <si>
    <t>Ravelijn</t>
  </si>
  <si>
    <t>De Vier Heemskinderen</t>
  </si>
  <si>
    <t>St Lambertus</t>
  </si>
  <si>
    <t>Uren per jaar</t>
  </si>
  <si>
    <t>uurtarief:</t>
  </si>
  <si>
    <t xml:space="preserve"> </t>
  </si>
  <si>
    <t>uren/dag/jaar</t>
  </si>
  <si>
    <t>Bedrag per maand</t>
  </si>
  <si>
    <t>Uren per maand</t>
  </si>
  <si>
    <t>Tarcisiusschool</t>
  </si>
  <si>
    <t>Het Baken Oss</t>
  </si>
  <si>
    <t>Pedologisch Instituutschool Nijmegen</t>
  </si>
  <si>
    <t>De Kom Druten</t>
  </si>
  <si>
    <t>Kentalis Martinus van Beekschool</t>
  </si>
  <si>
    <t>Sint Maartenschool</t>
  </si>
  <si>
    <t>Roelant Berk en Beuk school</t>
  </si>
  <si>
    <t>per jaar</t>
  </si>
  <si>
    <t>Schoolwkn</t>
  </si>
  <si>
    <t>Vakantiewkn</t>
  </si>
  <si>
    <t>1 tm 4</t>
  </si>
  <si>
    <t>5 tm 8</t>
  </si>
  <si>
    <t>Standaard 2011</t>
  </si>
  <si>
    <t>Vakantie</t>
  </si>
  <si>
    <t>Standaard 2013</t>
  </si>
  <si>
    <t>Schoolweken</t>
  </si>
  <si>
    <t>Bereken de netto kosten van de opvang als volgt:</t>
  </si>
  <si>
    <t>Stap 1:</t>
  </si>
  <si>
    <t>Zoek uw gezamenlijk toetsingsinkomen (of verzamelinkomen) op.</t>
  </si>
  <si>
    <t>Stap 2:</t>
  </si>
  <si>
    <t>Vermenigvuldig de netto uurprijs met het aantal uren opvang per maand. U heeft nu</t>
  </si>
  <si>
    <t>de netto kosten per maand voor dit kind.</t>
  </si>
  <si>
    <t>(Zie voor het aantal uren opvang per maand de aan u toegestuurde "Bijlage bij overeenkomst 2012)</t>
  </si>
  <si>
    <t>Stap 3:</t>
  </si>
  <si>
    <t>geen toeslag over:</t>
  </si>
  <si>
    <t>KDO toeslag over maximaal:</t>
  </si>
  <si>
    <t>BSO toeslag over maximaal:</t>
  </si>
  <si>
    <t>Stap 1</t>
  </si>
  <si>
    <t>Stap 2</t>
  </si>
  <si>
    <t>Stap 3</t>
  </si>
  <si>
    <t>(Gezamenlijk)</t>
  </si>
  <si>
    <t>Tegemoetkoming</t>
  </si>
  <si>
    <t>toetsingsinkomen</t>
  </si>
  <si>
    <t>Overheid</t>
  </si>
  <si>
    <t>2A</t>
  </si>
  <si>
    <t>2B</t>
  </si>
  <si>
    <t>3A</t>
  </si>
  <si>
    <t>3B</t>
  </si>
  <si>
    <t>uurprijs KDO</t>
  </si>
  <si>
    <t>uurprijs BSO</t>
  </si>
  <si>
    <t>van</t>
  </si>
  <si>
    <t>tot</t>
  </si>
  <si>
    <t>eerste</t>
  </si>
  <si>
    <t>netto</t>
  </si>
  <si>
    <t>tweede en</t>
  </si>
  <si>
    <t>kind</t>
  </si>
  <si>
    <t>uurprijs</t>
  </si>
  <si>
    <t>volgende kind</t>
  </si>
  <si>
    <t>Kies hier uw school</t>
  </si>
  <si>
    <t>Percentage deelname</t>
  </si>
  <si>
    <t>Index prijs</t>
  </si>
  <si>
    <t>52 weken</t>
  </si>
  <si>
    <t>Verlies opvangcontracten inclusief feest, inclusief</t>
  </si>
  <si>
    <t>Kies hier uw gezinsinkomen</t>
  </si>
  <si>
    <t>ten opzichte van 2011.</t>
  </si>
  <si>
    <t>schoolweken is,</t>
  </si>
  <si>
    <t>40 weken</t>
  </si>
  <si>
    <t>Verlies uitsluitend feestagen (40 weken school en 12 vakantie) is 4%</t>
  </si>
  <si>
    <t xml:space="preserve">per jaar
</t>
  </si>
  <si>
    <t>Verlies uitsluitend opvangcontracten continuerooster (40 weken school en 12 vakantie) is 6,8%</t>
  </si>
  <si>
    <t>Inclusief verrekening feestdagen (40 weken school en 12 vakantie) is dat 11,1%</t>
  </si>
  <si>
    <t>Totaal 52 weken</t>
  </si>
  <si>
    <t>Totaal 40 weken</t>
  </si>
  <si>
    <t>NSO++</t>
  </si>
  <si>
    <t>in uren</t>
  </si>
  <si>
    <t>geïndexeerd</t>
  </si>
  <si>
    <t>Deelname 52
weken</t>
  </si>
  <si>
    <t>Deelname 40
weken</t>
  </si>
  <si>
    <t>Index</t>
  </si>
  <si>
    <t>deelname NSO</t>
  </si>
  <si>
    <t>deelname NSO++</t>
  </si>
  <si>
    <t>Totaal verlies aan factureerbare uren</t>
  </si>
  <si>
    <t>Totaal verlies aan inkomsten</t>
  </si>
  <si>
    <t>Inkomsten in huidige begroting</t>
  </si>
  <si>
    <t>Verlies inkomsten i.v.m. 2011</t>
  </si>
  <si>
    <t>Inkomsten nieuw</t>
  </si>
  <si>
    <t>Kosten in huidige begroting</t>
  </si>
  <si>
    <t>Resultaat</t>
  </si>
  <si>
    <t>Rendement</t>
  </si>
  <si>
    <t>Totaal 48 weken</t>
  </si>
  <si>
    <t>Deelname 48
weken</t>
  </si>
  <si>
    <t>48 weken</t>
  </si>
  <si>
    <t>Continurooster</t>
  </si>
  <si>
    <t>Opvangcontract</t>
  </si>
  <si>
    <t>Bruto kosten</t>
  </si>
  <si>
    <t>Overige gegevens</t>
  </si>
  <si>
    <t>Bruto uurprijs</t>
  </si>
  <si>
    <t>1.</t>
  </si>
  <si>
    <t>2.</t>
  </si>
  <si>
    <t>Voorschoolse opvang</t>
  </si>
  <si>
    <t>4.</t>
  </si>
  <si>
    <t>(Klik op het bedrag en vervolgens op het pijltje)</t>
  </si>
  <si>
    <t>a.</t>
  </si>
  <si>
    <t>b.</t>
  </si>
  <si>
    <t>c.</t>
  </si>
  <si>
    <t>Naschoolse opvang</t>
  </si>
  <si>
    <t>Voor- én naschoolse opvang</t>
  </si>
  <si>
    <t>Uurprijzen</t>
  </si>
  <si>
    <t>Aantal uren per opvangvorm</t>
  </si>
  <si>
    <t>€</t>
  </si>
  <si>
    <t>5 gelijke dagen (tot 18.00 uur)</t>
  </si>
  <si>
    <t>8.30-14.00</t>
  </si>
  <si>
    <t>De Bongerd</t>
  </si>
  <si>
    <t>De Ester</t>
  </si>
  <si>
    <t>Hartenaas</t>
  </si>
  <si>
    <t>De Raamdonk</t>
  </si>
  <si>
    <t>De Sprankel</t>
  </si>
  <si>
    <t>De Tandem</t>
  </si>
  <si>
    <t>De Wegwijzer</t>
  </si>
  <si>
    <t>`s Morgens van</t>
  </si>
  <si>
    <t>08.30 – 12.00 uur</t>
  </si>
  <si>
    <t>`s Middags van</t>
  </si>
  <si>
    <t>13.15 – 15.15 uur</t>
  </si>
  <si>
    <t>Woensdagmorgen</t>
  </si>
  <si>
    <t>08.30 – 12.15 uur</t>
  </si>
  <si>
    <t>Groep 1 t/m 4</t>
  </si>
  <si>
    <t>Vrijdagmiddag vrij</t>
  </si>
  <si>
    <r>
      <t>Maandag, dinsdag, donderdag:</t>
    </r>
    <r>
      <rPr>
        <u/>
        <sz val="12"/>
        <color theme="1"/>
        <rFont val="Arial"/>
        <family val="2"/>
      </rPr>
      <t xml:space="preserve"> </t>
    </r>
  </si>
  <si>
    <t>Groep 1 t/m 8           ‘s morgens 8.30-12.00 uur</t>
  </si>
  <si>
    <r>
      <t xml:space="preserve">                                   </t>
    </r>
    <r>
      <rPr>
        <sz val="12"/>
        <color theme="1"/>
        <rFont val="Arial"/>
        <family val="2"/>
      </rPr>
      <t>‘s middags 13.30-15.30 uur</t>
    </r>
  </si>
  <si>
    <t>Woensdag:</t>
  </si>
  <si>
    <t>Groep 1 t/m 8           ‘s morgens 8.30-12.15 uur</t>
  </si>
  <si>
    <t>                                   ‘s middags vrij. </t>
  </si>
  <si>
    <t>Vrijdag:</t>
  </si>
  <si>
    <t>Groep 1 t/m 8           ‘s morgens 8.30-12.00 uur</t>
  </si>
  <si>
    <t>Groep 5 t/m 8           ‘s middags 13.30-15.30 uur</t>
  </si>
  <si>
    <t>Groep 1 t/m 4            's middags vrij</t>
  </si>
  <si>
    <t>Groep 1 en 2             om de week de hele vrijdag vrij (zie overzicht in jaarlijkse bijlage)</t>
  </si>
  <si>
    <t>Schooltijden Hartenaas</t>
  </si>
  <si>
    <t>Groep 1 t/m 8</t>
  </si>
  <si>
    <t> maandag, dinsdag en donderdag</t>
  </si>
  <si>
    <t>8.30 -12.00 uur en 13.30 -15.30 uur</t>
  </si>
  <si>
    <t> woensdag en vrijdag 8.30 -12.30 uur</t>
  </si>
  <si>
    <t> woensdag- en vrijdagmiddag vrij</t>
  </si>
  <si>
    <t>Maandag, Dinsdag, Donderdag, Vrijdag</t>
  </si>
  <si>
    <t>   08.30 uur t/m 12.00 uur</t>
  </si>
  <si>
    <t>   13.30 uur t/m 15.30 uur</t>
  </si>
  <si>
    <t>• Woensdag</t>
  </si>
  <si>
    <t>   08.30 uur t/m 12.30 uur</t>
  </si>
  <si>
    <t>   De kinderen van groep 1 zijn op vrijdag vrij.</t>
  </si>
  <si>
    <t>   De kinderen van groep 2 t/m 4 gaan alleen op vrijdagochtend naar school.</t>
  </si>
  <si>
    <t>De schooltijden zijn van 's morgens 8.30 tot 12.00 en 's middags van 13.30 tot 15.30 uur.</t>
  </si>
  <si>
    <t>Op woensdagmiddag zijn de leerlingen vrij. De lessen voor de groepen 5 t/m 8 duren die dag 's morgens tot 12.15 uur.</t>
  </si>
  <si>
    <t>Op vrijdagmiddag zijn de leerlingen van groep 1 t/m groep 4 vrij</t>
  </si>
  <si>
    <t>Groep 1-4:</t>
  </si>
  <si>
    <t>maandag, dinsdag, donderdag: 8.30-12.00 uur en 13.30-15.30 uur</t>
  </si>
  <si>
    <t>woensdag: 8.30-12.30 uur</t>
  </si>
  <si>
    <t>vrijdag: 8.30 -12.00 uur</t>
  </si>
  <si>
    <t>Groep 5 t/m 8:</t>
  </si>
  <si>
    <t>maandag, dinsdag, donderdag en vrijdag: 8.30-12.00 uur en 13.30-15.30 uur</t>
  </si>
  <si>
    <t>woensdag: 8.30 – 12.30 uur</t>
  </si>
  <si>
    <t>woensdag tot 12.15</t>
  </si>
  <si>
    <t>maandag tot vrijdag 15.00</t>
  </si>
  <si>
    <t>5 gelijke dagen (tot 18.30 uur)</t>
  </si>
  <si>
    <t>8.30-12.00</t>
  </si>
  <si>
    <t>8.30-12.00
13.00-15.00</t>
  </si>
  <si>
    <t>8.30-12.00
13.15-15.15</t>
  </si>
  <si>
    <t>Gemiddelde uren per maand</t>
  </si>
  <si>
    <t>Schooltijden</t>
  </si>
  <si>
    <t>Maandag 08.45 uur – 15.15 uur</t>
  </si>
  <si>
    <t>Dinsdag 08.45 uur – 15.15 uur</t>
  </si>
  <si>
    <t>Woensdag 08.45 uur – 12.15 uur</t>
  </si>
  <si>
    <t>Donderdag 08.45 uur – 15.15 uur</t>
  </si>
  <si>
    <t>Vrijdag 08.45 uur – 15.15 uur</t>
  </si>
  <si>
    <t>8.45-12.15</t>
  </si>
  <si>
    <t>SO</t>
  </si>
  <si>
    <t>Ochtendpauze is van 10.15 uur - 10.30 uur.</t>
  </si>
  <si>
    <t>Lunchpauze van 12.15 uur - 13.15 uur.</t>
  </si>
  <si>
    <t>8.45-12.15
13.15-15.15</t>
  </si>
  <si>
    <t>Visio Onderwijs Grave</t>
  </si>
  <si>
    <t>Hartenaas tot 15.30 uur</t>
  </si>
  <si>
    <t>Visio Onderwijs</t>
  </si>
  <si>
    <t>Ouderbijdragetabel Wet Kinderopvang 2016</t>
  </si>
  <si>
    <t>5 GDM miv 2015-2016</t>
  </si>
  <si>
    <t>De Sprankel tot 15.30 uur</t>
  </si>
  <si>
    <t>(bron: Staatsblad van het Koninkrijk der Nederlanden)</t>
  </si>
  <si>
    <t>3.</t>
  </si>
  <si>
    <t>Ouderbijdragetabel Wet Kinderopvang 2017</t>
  </si>
  <si>
    <r>
      <t xml:space="preserve">Zoek de netto bijbehorende netto uurprijs op voor het kind met de </t>
    </r>
    <r>
      <rPr>
        <b/>
        <sz val="10"/>
        <color indexed="8"/>
        <rFont val="Tahoma"/>
        <family val="2"/>
      </rPr>
      <t xml:space="preserve">meeste </t>
    </r>
    <r>
      <rPr>
        <sz val="10"/>
        <color theme="1"/>
        <rFont val="Arial"/>
        <family val="2"/>
      </rPr>
      <t>opvanguren.</t>
    </r>
  </si>
  <si>
    <r>
      <t xml:space="preserve">Zoek de bijbehorende netto uurprijs op voor het kind met de </t>
    </r>
    <r>
      <rPr>
        <b/>
        <sz val="10"/>
        <color indexed="8"/>
        <rFont val="Tahoma"/>
        <family val="2"/>
      </rPr>
      <t xml:space="preserve">minste </t>
    </r>
    <r>
      <rPr>
        <sz val="10"/>
        <color theme="1"/>
        <rFont val="Arial"/>
        <family val="2"/>
      </rPr>
      <t>opvanguren.</t>
    </r>
  </si>
  <si>
    <t>Index 2017-16</t>
  </si>
  <si>
    <t>uur</t>
  </si>
  <si>
    <t>bruto</t>
  </si>
  <si>
    <t>opslag</t>
  </si>
  <si>
    <t>excl. studiedagen</t>
  </si>
  <si>
    <t>incl. 5 studiedagen</t>
  </si>
  <si>
    <t>5-gelijke-dagen tot 18u + 5 studiedagen (alleen 52 weken)</t>
  </si>
  <si>
    <t>5-gelijke-dagen tot 18.30u</t>
  </si>
  <si>
    <t>5-gelijke-dagen tot 18.30u + 5 studiedagen (alleen 52 weken)</t>
  </si>
  <si>
    <t>De Bongerd + 5 studiedagen (alleen 52 weken)</t>
  </si>
  <si>
    <t>De Tandem + 5 studiedagen (alleen 52 weken)</t>
  </si>
  <si>
    <t>Visio Onderwijs + 5 studiedagen (alleen 52 weken)</t>
  </si>
  <si>
    <t>5-gelijke-dagen tot 18.00u</t>
  </si>
  <si>
    <t>(Klik op het contractnaam en vervolgens op het pijltje)</t>
  </si>
  <si>
    <t>40 weken**</t>
  </si>
  <si>
    <t xml:space="preserve">Tijden en contractvormen kunnen per school verschillen. </t>
  </si>
  <si>
    <t>Neem contact op met onze afdeling plaatsing voor de mogelijkheden.</t>
  </si>
  <si>
    <t>Flexibele / Verlengde/ 
Vakantie opvang</t>
  </si>
  <si>
    <t>De Tandem/De Zilverberg</t>
  </si>
  <si>
    <t>Deze voorbeeldberekening is met de grootst mogelijke zorgvuldigheid tot stand gebracht, met de meest recente informatie van de Rijksoverheid. Ondanks alle zorgvuldigheid kunnen er echter fouten optreden. Er kunnen geen rechten ontleend worden aan deze voorbeeldberekening.</t>
  </si>
  <si>
    <t>lager dan</t>
  </si>
  <si>
    <r>
      <t>Netto uurprijs 1</t>
    </r>
    <r>
      <rPr>
        <b/>
        <vertAlign val="superscript"/>
        <sz val="10"/>
        <color theme="1"/>
        <rFont val="Verdana"/>
        <family val="2"/>
      </rPr>
      <t>e</t>
    </r>
    <r>
      <rPr>
        <b/>
        <sz val="10"/>
        <color theme="1"/>
        <rFont val="Verdana"/>
        <family val="2"/>
      </rPr>
      <t xml:space="preserve"> kind</t>
    </r>
    <r>
      <rPr>
        <b/>
        <sz val="8"/>
        <color theme="1"/>
        <rFont val="Verdana"/>
        <family val="2"/>
      </rPr>
      <t xml:space="preserve"> (na aftrek ko-toeslag)</t>
    </r>
  </si>
  <si>
    <r>
      <t>Netto uurprijs 2</t>
    </r>
    <r>
      <rPr>
        <b/>
        <vertAlign val="superscript"/>
        <sz val="10"/>
        <color theme="1"/>
        <rFont val="Verdana"/>
        <family val="2"/>
      </rPr>
      <t>e</t>
    </r>
    <r>
      <rPr>
        <b/>
        <sz val="10"/>
        <color theme="1"/>
        <rFont val="Verdana"/>
        <family val="2"/>
      </rPr>
      <t xml:space="preserve"> kind e.v.</t>
    </r>
    <r>
      <rPr>
        <b/>
        <sz val="8"/>
        <color theme="1"/>
        <rFont val="Verdana"/>
        <family val="2"/>
      </rPr>
      <t xml:space="preserve"> (na aftrek ko-toeslag)</t>
    </r>
  </si>
  <si>
    <r>
      <t>Netto maandprijs 1</t>
    </r>
    <r>
      <rPr>
        <vertAlign val="superscript"/>
        <sz val="10"/>
        <color theme="1"/>
        <rFont val="Verdana"/>
        <family val="2"/>
      </rPr>
      <t>e</t>
    </r>
    <r>
      <rPr>
        <sz val="10"/>
        <color theme="1"/>
        <rFont val="Verdana"/>
        <family val="2"/>
      </rPr>
      <t xml:space="preserve"> kind</t>
    </r>
    <r>
      <rPr>
        <sz val="8"/>
        <color theme="1"/>
        <rFont val="Verdana"/>
        <family val="2"/>
      </rPr>
      <t xml:space="preserve"> (na aftrek ko-toeslag)</t>
    </r>
  </si>
  <si>
    <r>
      <t>Netto maandprijs 2</t>
    </r>
    <r>
      <rPr>
        <vertAlign val="superscript"/>
        <sz val="10"/>
        <color theme="1"/>
        <rFont val="Verdana"/>
        <family val="2"/>
      </rPr>
      <t>e</t>
    </r>
    <r>
      <rPr>
        <sz val="10"/>
        <color theme="1"/>
        <rFont val="Verdana"/>
        <family val="2"/>
      </rPr>
      <t xml:space="preserve"> kind e.v.</t>
    </r>
    <r>
      <rPr>
        <sz val="8"/>
        <color theme="1"/>
        <rFont val="Verdana"/>
        <family val="2"/>
      </rPr>
      <t xml:space="preserve"> (na aftrek ko-toeslag)</t>
    </r>
  </si>
  <si>
    <t>* Een 52 weken contract inclusief 5 studiedagen is alleen af te nemen bij een contract tot 18.30 uur.</t>
  </si>
  <si>
    <t>** Een 40-wekencontract wordt in 11 termijnen per jaar gefactureerd. Juli wordt niet gefactureerd. Per saldo zijn de totale kosten per jaar uiteraard gelijk.</t>
  </si>
  <si>
    <t>40 weken in 
11 maanden**</t>
  </si>
  <si>
    <t>52 weken incl.  5 studiedagen*</t>
  </si>
  <si>
    <t>Gemiddelde uren per maand in 11 termijnen</t>
  </si>
  <si>
    <t>en hoger</t>
  </si>
  <si>
    <t xml:space="preserve"> = eind 2018 in Flexkids op gesloten gezet</t>
  </si>
  <si>
    <t>Voorbeeld berekening BSO Grave 2021</t>
  </si>
  <si>
    <r>
      <t xml:space="preserve">Overzicht van de kosten per maand voor 1 dag per week opvang </t>
    </r>
    <r>
      <rPr>
        <b/>
        <sz val="11"/>
        <color theme="1"/>
        <rFont val="Verdana"/>
        <family val="2"/>
      </rPr>
      <t>(prijzen per 01-01-2021)</t>
    </r>
  </si>
  <si>
    <t>In de berekeningen is rekening gehouden met een maximum uurprijs voor kinderopvangtoeslag van € 7,27 voor de BSO en een indexatie van de inkomenstabel conform het besluit Kinderopvangtoeslag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</si>
</sst>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 #,##0;&quot;€&quot;\ \-#,##0"/>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0.0%"/>
    <numFmt numFmtId="165" formatCode="_ * #,##0_ ;_ * \-#,##0_ ;_ * &quot;-&quot;??_ ;_ @_ "/>
    <numFmt numFmtId="166" formatCode="&quot;€&quot;\ #,##0.00_);[Red]\(&quot;€&quot;\ #,##0.00\)"/>
    <numFmt numFmtId="167" formatCode="&quot;€&quot;\ #,##0.00"/>
    <numFmt numFmtId="168" formatCode="_-&quot;€&quot;\ * #,##0_-;_-&quot;€&quot;\ * #,##0\-;_-&quot;€&quot;\ * &quot;-&quot;??_-;_-@_-"/>
    <numFmt numFmtId="169" formatCode="_-&quot;€&quot;\ * #,##0.00_-;_-&quot;€&quot;\ * #,##0.00\-;_-&quot;€&quot;\ * &quot;-&quot;??_-;_-@_-"/>
    <numFmt numFmtId="170" formatCode="_ * #,##0.0_ ;_ * \-#,##0.0_ ;_ * &quot;-&quot;?_ ;_ @_ "/>
    <numFmt numFmtId="171" formatCode="_ * #,##0.0_ ;_ * \-#,##0.0_ ;_ * &quot;-&quot;??_ ;_ @_ "/>
    <numFmt numFmtId="172" formatCode="_ &quot;€&quot;\ * #,##0_ ;_ &quot;€&quot;\ * \-#,##0_ ;_ &quot;€&quot;\ * &quot;-&quot;??_ ;_ @_ "/>
    <numFmt numFmtId="173" formatCode="#,##0_ ;\-#,##0\ "/>
    <numFmt numFmtId="174" formatCode="_ * #,##0.000_ ;_ * \-#,##0.000_ ;_ * &quot;-&quot;??_ ;_ @_ "/>
    <numFmt numFmtId="175" formatCode="_-&quot;€&quot;\ * #,##0.00000_-;_-&quot;€&quot;\ * #,##0.00000\-;_-&quot;€&quot;\ * &quot;-&quot;??_-;_-@_-"/>
    <numFmt numFmtId="176" formatCode="_ [$€-2]\ * #,##0_ ;_ [$€-2]\ * \-#,##0_ ;_ [$€-2]\ * &quot;-&quot;??_ ;_ @_ "/>
    <numFmt numFmtId="177" formatCode="&quot;€&quot;\ #,##0"/>
  </numFmts>
  <fonts count="67" x14ac:knownFonts="1">
    <font>
      <sz val="10"/>
      <color theme="1"/>
      <name val="Arial"/>
      <family val="2"/>
    </font>
    <font>
      <sz val="9"/>
      <color theme="1"/>
      <name val="Verdana"/>
      <family val="2"/>
    </font>
    <font>
      <sz val="10"/>
      <color theme="1"/>
      <name val="Arial"/>
      <family val="2"/>
    </font>
    <font>
      <sz val="10"/>
      <color rgb="FFFF0000"/>
      <name val="Arial"/>
      <family val="2"/>
    </font>
    <font>
      <b/>
      <sz val="10"/>
      <color theme="1"/>
      <name val="Arial"/>
      <family val="2"/>
    </font>
    <font>
      <sz val="10"/>
      <name val="Arial"/>
      <family val="2"/>
    </font>
    <font>
      <sz val="10"/>
      <color theme="0" tint="-0.249977111117893"/>
      <name val="Arial"/>
      <family val="2"/>
    </font>
    <font>
      <i/>
      <sz val="10"/>
      <color theme="1"/>
      <name val="Arial"/>
      <family val="2"/>
    </font>
    <font>
      <b/>
      <i/>
      <sz val="10"/>
      <color theme="1"/>
      <name val="Arial"/>
      <family val="2"/>
    </font>
    <font>
      <i/>
      <sz val="10"/>
      <color theme="0" tint="-0.499984740745262"/>
      <name val="Arial"/>
      <family val="2"/>
    </font>
    <font>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0"/>
      <color rgb="FF00B050"/>
      <name val="Arial"/>
      <family val="2"/>
    </font>
    <font>
      <i/>
      <sz val="10"/>
      <color rgb="FF00B050"/>
      <name val="Arial"/>
      <family val="2"/>
    </font>
    <font>
      <b/>
      <sz val="16"/>
      <color theme="1"/>
      <name val="Tahoma"/>
      <family val="2"/>
    </font>
    <font>
      <b/>
      <sz val="11"/>
      <color theme="1"/>
      <name val="Tahoma"/>
      <family val="2"/>
    </font>
    <font>
      <b/>
      <sz val="12"/>
      <color theme="1"/>
      <name val="Tahoma"/>
      <family val="2"/>
    </font>
    <font>
      <b/>
      <sz val="10"/>
      <color theme="1"/>
      <name val="Tahoma"/>
      <family val="2"/>
    </font>
    <font>
      <sz val="10"/>
      <color theme="1"/>
      <name val="Tahoma"/>
      <family val="2"/>
    </font>
    <font>
      <i/>
      <sz val="10"/>
      <color theme="1"/>
      <name val="Tahoma"/>
      <family val="2"/>
    </font>
    <font>
      <sz val="10"/>
      <color rgb="FF000000"/>
      <name val="Calibri"/>
      <family val="2"/>
    </font>
    <font>
      <sz val="11"/>
      <color rgb="FF000000"/>
      <name val="Calibri"/>
      <family val="2"/>
    </font>
    <font>
      <sz val="12"/>
      <color rgb="FF000000"/>
      <name val="Calibri"/>
      <family val="2"/>
    </font>
    <font>
      <sz val="12"/>
      <color theme="1"/>
      <name val="Arial"/>
      <family val="2"/>
    </font>
    <font>
      <b/>
      <u/>
      <sz val="12"/>
      <color theme="1"/>
      <name val="Arial"/>
      <family val="2"/>
    </font>
    <font>
      <u/>
      <sz val="12"/>
      <color theme="1"/>
      <name val="Arial"/>
      <family val="2"/>
    </font>
    <font>
      <sz val="11"/>
      <color theme="1"/>
      <name val="Arial"/>
      <family val="2"/>
    </font>
    <font>
      <sz val="10"/>
      <name val="Century Gothic"/>
      <family val="2"/>
    </font>
    <font>
      <sz val="8"/>
      <name val="Comic Sans MS"/>
      <family val="4"/>
    </font>
    <font>
      <sz val="11"/>
      <color theme="1"/>
      <name val="Verdana"/>
      <family val="2"/>
    </font>
    <font>
      <b/>
      <i/>
      <sz val="10"/>
      <name val="Arial"/>
      <family val="2"/>
    </font>
    <font>
      <b/>
      <sz val="10"/>
      <color rgb="FFFF0000"/>
      <name val="Arial"/>
      <family val="2"/>
    </font>
    <font>
      <b/>
      <sz val="10"/>
      <color indexed="8"/>
      <name val="Tahoma"/>
      <family val="2"/>
    </font>
    <font>
      <sz val="9"/>
      <color rgb="FF000000"/>
      <name val="Arial"/>
      <family val="2"/>
    </font>
    <font>
      <sz val="10"/>
      <color theme="1"/>
      <name val="Verdana"/>
      <family val="2"/>
    </font>
    <font>
      <b/>
      <i/>
      <sz val="10"/>
      <color theme="1"/>
      <name val="Verdana"/>
      <family val="2"/>
    </font>
    <font>
      <b/>
      <sz val="18"/>
      <color theme="1"/>
      <name val="Verdana"/>
      <family val="2"/>
    </font>
    <font>
      <b/>
      <sz val="20"/>
      <color theme="1"/>
      <name val="Verdana"/>
      <family val="2"/>
    </font>
    <font>
      <b/>
      <sz val="12"/>
      <color theme="1"/>
      <name val="Verdana"/>
      <family val="2"/>
    </font>
    <font>
      <b/>
      <sz val="10"/>
      <color theme="1"/>
      <name val="Verdana"/>
      <family val="2"/>
    </font>
    <font>
      <b/>
      <sz val="12"/>
      <name val="Verdana"/>
      <family val="2"/>
    </font>
    <font>
      <b/>
      <sz val="12"/>
      <color rgb="FF3F3F76"/>
      <name val="Verdana"/>
      <family val="2"/>
    </font>
    <font>
      <i/>
      <sz val="10"/>
      <color theme="1"/>
      <name val="Verdana"/>
      <family val="2"/>
    </font>
    <font>
      <sz val="14"/>
      <color theme="1"/>
      <name val="Verdana"/>
      <family val="2"/>
    </font>
    <font>
      <sz val="12"/>
      <color theme="1"/>
      <name val="Verdana"/>
      <family val="2"/>
    </font>
    <font>
      <sz val="12"/>
      <color rgb="FF3F3F76"/>
      <name val="Verdana"/>
      <family val="2"/>
    </font>
    <font>
      <b/>
      <sz val="11"/>
      <color theme="1"/>
      <name val="Verdana"/>
      <family val="2"/>
    </font>
    <font>
      <b/>
      <sz val="10"/>
      <name val="Verdana"/>
      <family val="2"/>
    </font>
    <font>
      <sz val="10"/>
      <name val="Verdana"/>
      <family val="2"/>
    </font>
    <font>
      <b/>
      <vertAlign val="superscript"/>
      <sz val="10"/>
      <color theme="1"/>
      <name val="Verdana"/>
      <family val="2"/>
    </font>
    <font>
      <b/>
      <sz val="8"/>
      <color theme="1"/>
      <name val="Verdana"/>
      <family val="2"/>
    </font>
    <font>
      <vertAlign val="superscript"/>
      <sz val="10"/>
      <color theme="1"/>
      <name val="Verdana"/>
      <family val="2"/>
    </font>
    <font>
      <sz val="8"/>
      <color theme="1"/>
      <name val="Verdana"/>
      <family val="2"/>
    </font>
    <font>
      <sz val="9"/>
      <color rgb="FF333333"/>
      <name val="Verdana"/>
      <family val="2"/>
    </font>
  </fonts>
  <fills count="49">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6">
    <xf numFmtId="0" fontId="0" fillId="0" borderId="0"/>
    <xf numFmtId="43"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xf numFmtId="0" fontId="12" fillId="0" borderId="21" applyNumberFormat="0" applyFill="0" applyAlignment="0" applyProtection="0"/>
    <xf numFmtId="0" fontId="13" fillId="0" borderId="22"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0" applyNumberFormat="0" applyBorder="0" applyAlignment="0" applyProtection="0"/>
    <xf numFmtId="0" fontId="18" fillId="11" borderId="24" applyNumberFormat="0" applyAlignment="0" applyProtection="0"/>
    <xf numFmtId="0" fontId="19" fillId="12" borderId="25" applyNumberFormat="0" applyAlignment="0" applyProtection="0"/>
    <xf numFmtId="0" fontId="20" fillId="12" borderId="24" applyNumberFormat="0" applyAlignment="0" applyProtection="0"/>
    <xf numFmtId="0" fontId="21" fillId="0" borderId="26" applyNumberFormat="0" applyFill="0" applyAlignment="0" applyProtection="0"/>
    <xf numFmtId="0" fontId="22" fillId="13" borderId="27" applyNumberFormat="0" applyAlignment="0" applyProtection="0"/>
    <xf numFmtId="0" fontId="3" fillId="0" borderId="0" applyNumberFormat="0" applyFill="0" applyBorder="0" applyAlignment="0" applyProtection="0"/>
    <xf numFmtId="0" fontId="2" fillId="14" borderId="28" applyNumberFormat="0" applyFont="0" applyAlignment="0" applyProtection="0"/>
    <xf numFmtId="0" fontId="23" fillId="0" borderId="0" applyNumberFormat="0" applyFill="0" applyBorder="0" applyAlignment="0" applyProtection="0"/>
    <xf numFmtId="0" fontId="4" fillId="0" borderId="29" applyNumberFormat="0" applyFill="0" applyAlignment="0" applyProtection="0"/>
    <xf numFmtId="0" fontId="24"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4" fillId="38" borderId="0" applyNumberFormat="0" applyBorder="0" applyAlignment="0" applyProtection="0"/>
    <xf numFmtId="44" fontId="2" fillId="0" borderId="0" applyFont="0" applyFill="0" applyBorder="0" applyAlignment="0" applyProtection="0"/>
    <xf numFmtId="0" fontId="1" fillId="0" borderId="0"/>
  </cellStyleXfs>
  <cellXfs count="351">
    <xf numFmtId="0" fontId="0" fillId="0" borderId="0" xfId="0"/>
    <xf numFmtId="0" fontId="0" fillId="0" borderId="0" xfId="0" applyBorder="1"/>
    <xf numFmtId="0" fontId="0" fillId="3" borderId="5" xfId="0"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 xfId="0" applyBorder="1"/>
    <xf numFmtId="0" fontId="5" fillId="0" borderId="0" xfId="0" applyFont="1" applyBorder="1"/>
    <xf numFmtId="0" fontId="0" fillId="0" borderId="0" xfId="0" applyFill="1" applyBorder="1"/>
    <xf numFmtId="167" fontId="0" fillId="0" borderId="0" xfId="0" applyNumberFormat="1"/>
    <xf numFmtId="167" fontId="4" fillId="0" borderId="0" xfId="0" applyNumberFormat="1" applyFont="1"/>
    <xf numFmtId="0" fontId="4" fillId="0" borderId="0" xfId="0" applyFont="1" applyAlignment="1">
      <alignment horizontal="right"/>
    </xf>
    <xf numFmtId="0" fontId="4" fillId="0" borderId="0" xfId="0" applyNumberFormat="1" applyFont="1"/>
    <xf numFmtId="167" fontId="6" fillId="0" borderId="0" xfId="0" applyNumberFormat="1" applyFont="1"/>
    <xf numFmtId="167" fontId="0" fillId="0" borderId="0" xfId="0" applyNumberFormat="1" applyFill="1"/>
    <xf numFmtId="0" fontId="0" fillId="0" borderId="0" xfId="0" applyFill="1"/>
    <xf numFmtId="2" fontId="0" fillId="0" borderId="0" xfId="0" applyNumberFormat="1" applyFill="1"/>
    <xf numFmtId="0" fontId="7" fillId="0" borderId="13" xfId="0" applyFont="1" applyBorder="1"/>
    <xf numFmtId="0" fontId="7" fillId="0" borderId="0" xfId="0" applyFont="1"/>
    <xf numFmtId="0" fontId="8" fillId="0" borderId="0" xfId="0" applyFont="1" applyAlignment="1">
      <alignment horizontal="right"/>
    </xf>
    <xf numFmtId="167" fontId="8" fillId="0" borderId="0" xfId="0" applyNumberFormat="1" applyFont="1"/>
    <xf numFmtId="0" fontId="8" fillId="0" borderId="0" xfId="0" applyNumberFormat="1" applyFont="1"/>
    <xf numFmtId="0" fontId="7" fillId="0" borderId="15" xfId="0" applyFont="1" applyFill="1" applyBorder="1"/>
    <xf numFmtId="0" fontId="7" fillId="0" borderId="0" xfId="0" applyFont="1" applyFill="1" applyBorder="1"/>
    <xf numFmtId="0" fontId="7" fillId="0" borderId="0" xfId="0" applyFont="1" applyFill="1"/>
    <xf numFmtId="2" fontId="7" fillId="0" borderId="0" xfId="0" applyNumberFormat="1" applyFont="1" applyFill="1"/>
    <xf numFmtId="167" fontId="7" fillId="0" borderId="0" xfId="0" applyNumberFormat="1" applyFont="1" applyFill="1"/>
    <xf numFmtId="167" fontId="9" fillId="0" borderId="0" xfId="0" applyNumberFormat="1" applyFont="1" applyFill="1"/>
    <xf numFmtId="0" fontId="7" fillId="0" borderId="17" xfId="0" applyFont="1" applyFill="1" applyBorder="1"/>
    <xf numFmtId="0" fontId="7" fillId="0" borderId="18" xfId="0" applyFont="1" applyFill="1" applyBorder="1"/>
    <xf numFmtId="167" fontId="4" fillId="0" borderId="0" xfId="0" applyNumberFormat="1" applyFont="1" applyAlignment="1">
      <alignment horizontal="left"/>
    </xf>
    <xf numFmtId="4" fontId="0" fillId="0" borderId="0" xfId="0" applyNumberFormat="1" applyFill="1"/>
    <xf numFmtId="0" fontId="4" fillId="7" borderId="0" xfId="0" applyFont="1" applyFill="1"/>
    <xf numFmtId="0" fontId="0" fillId="0" borderId="5" xfId="0" applyBorder="1"/>
    <xf numFmtId="167" fontId="0" fillId="0" borderId="8" xfId="0" applyNumberFormat="1" applyBorder="1"/>
    <xf numFmtId="167" fontId="0" fillId="0" borderId="0" xfId="0" applyNumberFormat="1" applyBorder="1"/>
    <xf numFmtId="4" fontId="0" fillId="0" borderId="0" xfId="0" applyNumberFormat="1" applyFill="1" applyBorder="1"/>
    <xf numFmtId="2" fontId="0" fillId="0" borderId="0" xfId="0" applyNumberFormat="1" applyFill="1" applyBorder="1"/>
    <xf numFmtId="2" fontId="0" fillId="0" borderId="9" xfId="0" applyNumberFormat="1" applyFill="1" applyBorder="1"/>
    <xf numFmtId="0" fontId="0" fillId="0" borderId="11" xfId="0" applyBorder="1"/>
    <xf numFmtId="0" fontId="0" fillId="3" borderId="8" xfId="0" applyFill="1" applyBorder="1"/>
    <xf numFmtId="0" fontId="0" fillId="3" borderId="2" xfId="0" applyFill="1" applyBorder="1"/>
    <xf numFmtId="0" fontId="5" fillId="0" borderId="0" xfId="0" applyFont="1"/>
    <xf numFmtId="0" fontId="10" fillId="0" borderId="13" xfId="0" applyFont="1" applyBorder="1"/>
    <xf numFmtId="0" fontId="10" fillId="0" borderId="14" xfId="0" applyFont="1" applyBorder="1"/>
    <xf numFmtId="0" fontId="10" fillId="0" borderId="0" xfId="0" applyFont="1" applyFill="1" applyBorder="1"/>
    <xf numFmtId="0" fontId="10" fillId="0" borderId="16" xfId="0" applyFont="1" applyFill="1" applyBorder="1"/>
    <xf numFmtId="0" fontId="10" fillId="0" borderId="18" xfId="0" applyFont="1" applyFill="1" applyBorder="1"/>
    <xf numFmtId="0" fontId="10" fillId="0" borderId="19" xfId="0" applyFont="1" applyFill="1" applyBorder="1"/>
    <xf numFmtId="0" fontId="5" fillId="0" borderId="6" xfId="0" applyFont="1" applyBorder="1"/>
    <xf numFmtId="0" fontId="5" fillId="0" borderId="1" xfId="0" applyFont="1" applyBorder="1"/>
    <xf numFmtId="0" fontId="7" fillId="0" borderId="12" xfId="0" applyFont="1" applyFill="1" applyBorder="1"/>
    <xf numFmtId="2" fontId="10" fillId="0" borderId="0" xfId="0" applyNumberFormat="1" applyFont="1" applyFill="1" applyBorder="1"/>
    <xf numFmtId="0" fontId="4" fillId="0" borderId="0" xfId="0" applyFont="1" applyFill="1" applyAlignment="1">
      <alignment horizontal="right"/>
    </xf>
    <xf numFmtId="164" fontId="10" fillId="0" borderId="0" xfId="2" applyNumberFormat="1" applyFont="1" applyFill="1" applyBorder="1"/>
    <xf numFmtId="0" fontId="25" fillId="0" borderId="0" xfId="0" applyFont="1"/>
    <xf numFmtId="165" fontId="26" fillId="0" borderId="0" xfId="1" applyNumberFormat="1" applyFont="1" applyFill="1" applyBorder="1"/>
    <xf numFmtId="165" fontId="26" fillId="0" borderId="16" xfId="0" applyNumberFormat="1" applyFont="1" applyFill="1" applyBorder="1"/>
    <xf numFmtId="0" fontId="26" fillId="0" borderId="19" xfId="0" applyFont="1" applyFill="1" applyBorder="1"/>
    <xf numFmtId="164" fontId="26" fillId="0" borderId="0" xfId="2" applyNumberFormat="1" applyFont="1" applyFill="1" applyBorder="1"/>
    <xf numFmtId="0" fontId="10" fillId="0" borderId="0" xfId="0" applyFont="1" applyBorder="1"/>
    <xf numFmtId="0" fontId="27" fillId="0" borderId="0" xfId="0" applyFont="1" applyBorder="1"/>
    <xf numFmtId="0" fontId="28" fillId="0" borderId="0" xfId="0" applyFont="1" applyBorder="1"/>
    <xf numFmtId="0" fontId="29" fillId="0" borderId="0" xfId="0" applyFont="1" applyFill="1" applyBorder="1"/>
    <xf numFmtId="0" fontId="29" fillId="0" borderId="0" xfId="0" applyFont="1" applyBorder="1"/>
    <xf numFmtId="168" fontId="0" fillId="0" borderId="0" xfId="0" applyNumberFormat="1"/>
    <xf numFmtId="10" fontId="31" fillId="0" borderId="0" xfId="2" applyNumberFormat="1" applyFont="1"/>
    <xf numFmtId="169" fontId="0" fillId="0" borderId="0" xfId="0" applyNumberFormat="1"/>
    <xf numFmtId="43" fontId="31" fillId="0" borderId="0" xfId="1" applyFont="1"/>
    <xf numFmtId="43" fontId="0" fillId="0" borderId="0" xfId="0" applyNumberFormat="1"/>
    <xf numFmtId="49" fontId="0" fillId="0" borderId="0" xfId="0" applyNumberFormat="1"/>
    <xf numFmtId="168" fontId="0" fillId="2" borderId="0" xfId="0" applyNumberFormat="1" applyFill="1"/>
    <xf numFmtId="0" fontId="0" fillId="4" borderId="0" xfId="0" applyFill="1"/>
    <xf numFmtId="169" fontId="0" fillId="4" borderId="0" xfId="0" applyNumberFormat="1" applyFill="1"/>
    <xf numFmtId="0" fontId="0" fillId="6" borderId="0" xfId="0" applyFill="1"/>
    <xf numFmtId="169" fontId="30" fillId="4" borderId="0" xfId="0" applyNumberFormat="1" applyFont="1" applyFill="1" applyAlignment="1">
      <alignment horizontal="center"/>
    </xf>
    <xf numFmtId="0" fontId="30" fillId="4" borderId="0" xfId="0" applyFont="1" applyFill="1" applyAlignment="1">
      <alignment horizontal="center"/>
    </xf>
    <xf numFmtId="0" fontId="30" fillId="6" borderId="0" xfId="0" applyFont="1" applyFill="1" applyAlignment="1">
      <alignment horizontal="center"/>
    </xf>
    <xf numFmtId="10" fontId="31" fillId="4" borderId="0" xfId="2" applyNumberFormat="1" applyFont="1" applyFill="1"/>
    <xf numFmtId="169" fontId="30" fillId="4" borderId="0" xfId="0" applyNumberFormat="1" applyFont="1" applyFill="1" applyAlignment="1">
      <alignment horizontal="right"/>
    </xf>
    <xf numFmtId="0" fontId="0" fillId="4" borderId="0" xfId="0" applyFill="1" applyAlignment="1">
      <alignment horizontal="right"/>
    </xf>
    <xf numFmtId="10" fontId="31" fillId="6" borderId="0" xfId="2" applyNumberFormat="1" applyFont="1" applyFill="1"/>
    <xf numFmtId="169" fontId="30" fillId="6" borderId="0" xfId="0" applyNumberFormat="1" applyFont="1" applyFill="1" applyAlignment="1">
      <alignment horizontal="right"/>
    </xf>
    <xf numFmtId="0" fontId="0" fillId="6" borderId="0" xfId="0" applyFill="1" applyAlignment="1">
      <alignment horizontal="right"/>
    </xf>
    <xf numFmtId="169" fontId="0" fillId="6" borderId="0" xfId="0" applyNumberFormat="1" applyFill="1"/>
    <xf numFmtId="168" fontId="0" fillId="2" borderId="31" xfId="0" applyNumberFormat="1" applyFill="1" applyBorder="1"/>
    <xf numFmtId="0" fontId="0" fillId="4" borderId="0" xfId="0" applyFill="1" applyBorder="1"/>
    <xf numFmtId="169" fontId="0" fillId="4" borderId="31" xfId="0" applyNumberFormat="1" applyFill="1" applyBorder="1"/>
    <xf numFmtId="169" fontId="0" fillId="6" borderId="31" xfId="0" applyNumberFormat="1" applyFill="1" applyBorder="1"/>
    <xf numFmtId="168" fontId="0" fillId="2" borderId="20" xfId="0" applyNumberFormat="1" applyFill="1" applyBorder="1"/>
    <xf numFmtId="169" fontId="0" fillId="4" borderId="20" xfId="0" applyNumberFormat="1" applyFill="1" applyBorder="1"/>
    <xf numFmtId="169" fontId="0" fillId="6" borderId="20" xfId="0" applyNumberFormat="1" applyFill="1" applyBorder="1"/>
    <xf numFmtId="0" fontId="0" fillId="4" borderId="30" xfId="0" applyFill="1" applyBorder="1"/>
    <xf numFmtId="169" fontId="0" fillId="4" borderId="30" xfId="0" applyNumberFormat="1" applyFill="1" applyBorder="1"/>
    <xf numFmtId="0" fontId="0" fillId="6" borderId="30" xfId="0" applyFill="1" applyBorder="1"/>
    <xf numFmtId="169" fontId="0" fillId="6" borderId="30" xfId="0" applyNumberFormat="1" applyFill="1" applyBorder="1"/>
    <xf numFmtId="44" fontId="0" fillId="0" borderId="0" xfId="0" applyNumberFormat="1"/>
    <xf numFmtId="1" fontId="0" fillId="0" borderId="0" xfId="0" applyNumberFormat="1"/>
    <xf numFmtId="10" fontId="0" fillId="0" borderId="0" xfId="0" applyNumberFormat="1"/>
    <xf numFmtId="2" fontId="0" fillId="0" borderId="0" xfId="0" applyNumberFormat="1"/>
    <xf numFmtId="168" fontId="32" fillId="0" borderId="0" xfId="0" applyNumberFormat="1" applyFont="1"/>
    <xf numFmtId="165" fontId="5" fillId="0" borderId="0" xfId="1" applyNumberFormat="1" applyFont="1" applyFill="1" applyBorder="1"/>
    <xf numFmtId="9" fontId="7" fillId="0" borderId="0" xfId="2" applyFont="1" applyFill="1"/>
    <xf numFmtId="0" fontId="10" fillId="0" borderId="1" xfId="0" applyFont="1" applyFill="1" applyBorder="1"/>
    <xf numFmtId="0" fontId="10" fillId="0" borderId="10" xfId="0" applyFont="1" applyFill="1" applyBorder="1"/>
    <xf numFmtId="165" fontId="26" fillId="0" borderId="1" xfId="1" applyNumberFormat="1" applyFont="1" applyFill="1" applyBorder="1"/>
    <xf numFmtId="0" fontId="5" fillId="0" borderId="3" xfId="0" applyFont="1" applyBorder="1"/>
    <xf numFmtId="164" fontId="26" fillId="0" borderId="3" xfId="2" applyNumberFormat="1" applyFont="1" applyFill="1" applyBorder="1"/>
    <xf numFmtId="0" fontId="5" fillId="0" borderId="5" xfId="0" applyFont="1" applyBorder="1"/>
    <xf numFmtId="0" fontId="7" fillId="0" borderId="0" xfId="0" applyFont="1" applyFill="1" applyAlignment="1">
      <alignment horizontal="center"/>
    </xf>
    <xf numFmtId="0" fontId="0" fillId="0" borderId="3" xfId="0" applyBorder="1"/>
    <xf numFmtId="0" fontId="0" fillId="0" borderId="2" xfId="0" applyBorder="1"/>
    <xf numFmtId="164" fontId="10" fillId="0" borderId="0" xfId="2" applyNumberFormat="1" applyFont="1" applyFill="1" applyBorder="1" applyAlignment="1">
      <alignment horizontal="left"/>
    </xf>
    <xf numFmtId="0" fontId="5" fillId="0" borderId="0" xfId="0" applyFont="1" applyBorder="1"/>
    <xf numFmtId="0" fontId="5" fillId="0" borderId="0" xfId="0" applyFont="1"/>
    <xf numFmtId="0" fontId="10" fillId="0" borderId="0" xfId="0" applyFont="1" applyFill="1" applyBorder="1"/>
    <xf numFmtId="0" fontId="5" fillId="0" borderId="6" xfId="0" applyFont="1" applyBorder="1"/>
    <xf numFmtId="0" fontId="5" fillId="0" borderId="0" xfId="0" applyFont="1" applyBorder="1" applyAlignment="1">
      <alignment horizontal="center" vertical="top"/>
    </xf>
    <xf numFmtId="0" fontId="5" fillId="0" borderId="0" xfId="0" applyFont="1" applyBorder="1" applyAlignment="1">
      <alignment horizontal="center"/>
    </xf>
    <xf numFmtId="164" fontId="10" fillId="0" borderId="0" xfId="2" applyNumberFormat="1" applyFont="1" applyFill="1" applyBorder="1"/>
    <xf numFmtId="165" fontId="26" fillId="0" borderId="0" xfId="1" applyNumberFormat="1" applyFont="1" applyFill="1" applyBorder="1"/>
    <xf numFmtId="164" fontId="26" fillId="0" borderId="0" xfId="2" applyNumberFormat="1" applyFont="1" applyFill="1" applyBorder="1"/>
    <xf numFmtId="0" fontId="10" fillId="0" borderId="0" xfId="0" applyFont="1" applyBorder="1"/>
    <xf numFmtId="165" fontId="26" fillId="0" borderId="0" xfId="0" applyNumberFormat="1" applyFont="1" applyFill="1" applyBorder="1"/>
    <xf numFmtId="0" fontId="26" fillId="0" borderId="0" xfId="0" applyFont="1" applyFill="1" applyBorder="1"/>
    <xf numFmtId="9" fontId="7" fillId="0" borderId="0" xfId="2" applyFont="1" applyFill="1"/>
    <xf numFmtId="10" fontId="34" fillId="0" borderId="0" xfId="0" applyNumberFormat="1" applyFont="1" applyAlignment="1">
      <alignment vertical="center" wrapText="1"/>
    </xf>
    <xf numFmtId="0" fontId="34" fillId="0" borderId="0" xfId="0" applyFont="1" applyAlignment="1">
      <alignment vertical="center" wrapText="1"/>
    </xf>
    <xf numFmtId="8" fontId="35" fillId="0" borderId="0" xfId="0" applyNumberFormat="1" applyFont="1" applyAlignment="1">
      <alignment vertical="center" wrapText="1"/>
    </xf>
    <xf numFmtId="6" fontId="34" fillId="0" borderId="0" xfId="0" applyNumberFormat="1" applyFont="1" applyAlignment="1">
      <alignment vertical="center" wrapText="1"/>
    </xf>
    <xf numFmtId="6" fontId="35" fillId="0" borderId="0" xfId="0" applyNumberFormat="1" applyFont="1" applyAlignment="1">
      <alignment vertical="center" wrapText="1"/>
    </xf>
    <xf numFmtId="10" fontId="34" fillId="0" borderId="0" xfId="0" applyNumberFormat="1" applyFont="1" applyBorder="1" applyAlignment="1">
      <alignment vertical="center" wrapText="1"/>
    </xf>
    <xf numFmtId="0" fontId="0" fillId="4" borderId="4" xfId="0" applyFill="1" applyBorder="1"/>
    <xf numFmtId="0" fontId="0" fillId="6" borderId="4" xfId="0" applyFill="1" applyBorder="1"/>
    <xf numFmtId="10" fontId="34" fillId="4" borderId="30" xfId="0" applyNumberFormat="1" applyFont="1" applyFill="1" applyBorder="1" applyAlignment="1">
      <alignment vertical="center" wrapText="1"/>
    </xf>
    <xf numFmtId="10" fontId="34" fillId="6" borderId="30" xfId="0" applyNumberFormat="1" applyFont="1" applyFill="1" applyBorder="1" applyAlignment="1">
      <alignment vertical="center" wrapText="1"/>
    </xf>
    <xf numFmtId="9" fontId="5" fillId="0" borderId="0" xfId="0" applyNumberFormat="1" applyFont="1" applyBorder="1" applyAlignment="1">
      <alignment horizontal="center"/>
    </xf>
    <xf numFmtId="0" fontId="5" fillId="0" borderId="0" xfId="0" applyFont="1" applyBorder="1" applyAlignment="1">
      <alignment horizontal="center" vertical="top" wrapText="1"/>
    </xf>
    <xf numFmtId="164" fontId="26" fillId="0" borderId="13" xfId="2" applyNumberFormat="1" applyFont="1" applyFill="1" applyBorder="1"/>
    <xf numFmtId="164" fontId="26" fillId="0" borderId="14" xfId="2" applyNumberFormat="1" applyFont="1" applyFill="1" applyBorder="1"/>
    <xf numFmtId="170" fontId="26" fillId="0" borderId="32" xfId="0" applyNumberFormat="1" applyFont="1" applyFill="1" applyBorder="1"/>
    <xf numFmtId="170" fontId="26" fillId="0" borderId="33" xfId="0" applyNumberFormat="1" applyFont="1" applyFill="1" applyBorder="1"/>
    <xf numFmtId="164" fontId="26" fillId="0" borderId="16" xfId="2" applyNumberFormat="1" applyFont="1" applyFill="1" applyBorder="1"/>
    <xf numFmtId="164" fontId="26" fillId="0" borderId="18" xfId="2" applyNumberFormat="1" applyFont="1" applyFill="1" applyBorder="1"/>
    <xf numFmtId="0" fontId="10" fillId="0" borderId="12" xfId="0" applyFont="1" applyFill="1" applyBorder="1"/>
    <xf numFmtId="0" fontId="0" fillId="0" borderId="13" xfId="0" applyFill="1" applyBorder="1"/>
    <xf numFmtId="0" fontId="10" fillId="0" borderId="13" xfId="0" applyFont="1" applyFill="1" applyBorder="1" applyAlignment="1">
      <alignment wrapText="1"/>
    </xf>
    <xf numFmtId="0" fontId="10" fillId="0" borderId="14" xfId="0" applyFont="1" applyFill="1" applyBorder="1" applyAlignment="1">
      <alignment wrapText="1"/>
    </xf>
    <xf numFmtId="0" fontId="0" fillId="0" borderId="15" xfId="0" applyFill="1" applyBorder="1"/>
    <xf numFmtId="9" fontId="0" fillId="6" borderId="5" xfId="2" applyFont="1" applyFill="1" applyBorder="1"/>
    <xf numFmtId="9" fontId="0" fillId="6" borderId="7" xfId="2" applyFont="1" applyFill="1" applyBorder="1"/>
    <xf numFmtId="164" fontId="26" fillId="0" borderId="15" xfId="2" applyNumberFormat="1" applyFont="1" applyFill="1" applyBorder="1" applyAlignment="1">
      <alignment horizontal="right"/>
    </xf>
    <xf numFmtId="164" fontId="26" fillId="6" borderId="30" xfId="2" applyNumberFormat="1" applyFont="1" applyFill="1" applyBorder="1"/>
    <xf numFmtId="9" fontId="10" fillId="0" borderId="0" xfId="0" applyNumberFormat="1" applyFont="1" applyFill="1" applyBorder="1"/>
    <xf numFmtId="9" fontId="10" fillId="6" borderId="10" xfId="0" applyNumberFormat="1" applyFont="1" applyFill="1" applyBorder="1"/>
    <xf numFmtId="9" fontId="10" fillId="6" borderId="11" xfId="0" applyNumberFormat="1" applyFont="1" applyFill="1" applyBorder="1"/>
    <xf numFmtId="164" fontId="26" fillId="0" borderId="17" xfId="2" applyNumberFormat="1" applyFont="1" applyFill="1" applyBorder="1" applyAlignment="1">
      <alignment horizontal="right"/>
    </xf>
    <xf numFmtId="164" fontId="5" fillId="0" borderId="7" xfId="2" applyNumberFormat="1" applyFont="1" applyBorder="1"/>
    <xf numFmtId="0" fontId="0" fillId="0" borderId="10" xfId="0" applyFill="1" applyBorder="1"/>
    <xf numFmtId="0" fontId="0" fillId="0" borderId="1" xfId="0" applyFill="1" applyBorder="1"/>
    <xf numFmtId="164" fontId="5" fillId="0" borderId="11" xfId="2" applyNumberFormat="1" applyFont="1" applyBorder="1"/>
    <xf numFmtId="171" fontId="0" fillId="0" borderId="0" xfId="0" applyNumberFormat="1" applyFill="1"/>
    <xf numFmtId="0" fontId="0" fillId="0" borderId="5" xfId="0" applyFill="1" applyBorder="1"/>
    <xf numFmtId="0" fontId="0" fillId="0" borderId="6" xfId="0" applyFill="1" applyBorder="1"/>
    <xf numFmtId="172" fontId="0" fillId="0" borderId="7" xfId="44" applyNumberFormat="1" applyFont="1" applyFill="1" applyBorder="1"/>
    <xf numFmtId="0" fontId="0" fillId="0" borderId="8" xfId="0" applyFill="1" applyBorder="1"/>
    <xf numFmtId="172" fontId="0" fillId="0" borderId="9" xfId="44" applyNumberFormat="1" applyFont="1" applyFill="1" applyBorder="1"/>
    <xf numFmtId="0" fontId="7" fillId="0" borderId="8" xfId="0" applyFont="1" applyFill="1" applyBorder="1"/>
    <xf numFmtId="0" fontId="7" fillId="0" borderId="10" xfId="0" applyFont="1" applyFill="1" applyBorder="1"/>
    <xf numFmtId="164" fontId="10" fillId="0" borderId="11" xfId="2" applyNumberFormat="1" applyFont="1" applyFill="1" applyBorder="1"/>
    <xf numFmtId="0" fontId="10" fillId="0" borderId="5" xfId="0" applyFont="1" applyFill="1" applyBorder="1"/>
    <xf numFmtId="0" fontId="10" fillId="0" borderId="7" xfId="0" applyFont="1" applyFill="1" applyBorder="1"/>
    <xf numFmtId="0" fontId="10" fillId="0" borderId="11" xfId="0" applyFont="1" applyFill="1" applyBorder="1"/>
    <xf numFmtId="0" fontId="5" fillId="0" borderId="12" xfId="0" applyFont="1" applyBorder="1"/>
    <xf numFmtId="0" fontId="5" fillId="0" borderId="13" xfId="0" applyFont="1" applyBorder="1"/>
    <xf numFmtId="0" fontId="5" fillId="0" borderId="15" xfId="0" applyFont="1" applyBorder="1" applyAlignment="1">
      <alignment horizontal="center"/>
    </xf>
    <xf numFmtId="0" fontId="5" fillId="0" borderId="15" xfId="0" applyFont="1" applyBorder="1" applyAlignment="1">
      <alignment horizontal="center" vertical="top"/>
    </xf>
    <xf numFmtId="0" fontId="5" fillId="0" borderId="15" xfId="0" applyFont="1" applyBorder="1"/>
    <xf numFmtId="165" fontId="26" fillId="0" borderId="15" xfId="1" applyNumberFormat="1" applyFont="1" applyFill="1" applyBorder="1"/>
    <xf numFmtId="0" fontId="26" fillId="0" borderId="15" xfId="0" applyFont="1" applyFill="1" applyBorder="1"/>
    <xf numFmtId="0" fontId="10" fillId="0" borderId="17" xfId="0" applyFont="1" applyFill="1" applyBorder="1"/>
    <xf numFmtId="0" fontId="26" fillId="0" borderId="34" xfId="0" applyFont="1" applyFill="1" applyBorder="1"/>
    <xf numFmtId="0" fontId="26" fillId="0" borderId="3" xfId="0" applyFont="1" applyFill="1" applyBorder="1"/>
    <xf numFmtId="9" fontId="5" fillId="6" borderId="10" xfId="0" applyNumberFormat="1" applyFont="1" applyFill="1" applyBorder="1"/>
    <xf numFmtId="164" fontId="5" fillId="0" borderId="5" xfId="2" applyNumberFormat="1" applyFont="1" applyFill="1" applyBorder="1"/>
    <xf numFmtId="164" fontId="5" fillId="0" borderId="7" xfId="2" applyNumberFormat="1" applyFont="1" applyFill="1" applyBorder="1"/>
    <xf numFmtId="164" fontId="5" fillId="0" borderId="11" xfId="2" applyNumberFormat="1" applyFont="1" applyFill="1" applyBorder="1"/>
    <xf numFmtId="0" fontId="0" fillId="0" borderId="0" xfId="0" applyFill="1" applyBorder="1" applyProtection="1"/>
    <xf numFmtId="0" fontId="0" fillId="0" borderId="0" xfId="0" applyFont="1" applyFill="1" applyBorder="1" applyProtection="1"/>
    <xf numFmtId="173" fontId="33" fillId="2" borderId="30" xfId="44" applyNumberFormat="1" applyFont="1" applyFill="1" applyBorder="1" applyAlignment="1">
      <alignment vertical="center" wrapText="1"/>
    </xf>
    <xf numFmtId="0" fontId="10" fillId="0" borderId="0" xfId="0" applyFont="1" applyFill="1" applyBorder="1" applyAlignment="1">
      <alignment wrapText="1"/>
    </xf>
    <xf numFmtId="9" fontId="0" fillId="6" borderId="0" xfId="2" applyFont="1" applyFill="1" applyBorder="1"/>
    <xf numFmtId="9" fontId="10" fillId="6" borderId="0" xfId="0" applyNumberFormat="1" applyFont="1" applyFill="1" applyBorder="1"/>
    <xf numFmtId="164" fontId="5" fillId="0" borderId="0" xfId="2" applyNumberFormat="1" applyFont="1" applyBorder="1"/>
    <xf numFmtId="172" fontId="0" fillId="0" borderId="0" xfId="44" applyNumberFormat="1" applyFont="1" applyFill="1" applyBorder="1"/>
    <xf numFmtId="164" fontId="5" fillId="0" borderId="0" xfId="2" applyNumberFormat="1" applyFont="1" applyFill="1" applyBorder="1"/>
    <xf numFmtId="165" fontId="10" fillId="0" borderId="0" xfId="0" applyNumberFormat="1" applyFont="1" applyFill="1" applyBorder="1"/>
    <xf numFmtId="165" fontId="5" fillId="0" borderId="0" xfId="0" applyNumberFormat="1" applyFont="1" applyFill="1" applyBorder="1"/>
    <xf numFmtId="165" fontId="5" fillId="0" borderId="1" xfId="1" applyNumberFormat="1" applyFont="1" applyFill="1" applyBorder="1"/>
    <xf numFmtId="164" fontId="5" fillId="0" borderId="3" xfId="2" applyNumberFormat="1" applyFont="1" applyFill="1" applyBorder="1"/>
    <xf numFmtId="0" fontId="37" fillId="0" borderId="0" xfId="0" applyFont="1"/>
    <xf numFmtId="0" fontId="36" fillId="0" borderId="0" xfId="0" applyFont="1" applyAlignment="1">
      <alignment vertical="center"/>
    </xf>
    <xf numFmtId="0" fontId="39" fillId="0" borderId="0" xfId="0" applyFont="1" applyAlignment="1">
      <alignment vertical="center"/>
    </xf>
    <xf numFmtId="0" fontId="37" fillId="0" borderId="0" xfId="0" applyFont="1" applyAlignment="1">
      <alignment vertical="center"/>
    </xf>
    <xf numFmtId="0" fontId="0" fillId="0" borderId="0" xfId="0" applyAlignment="1">
      <alignment vertical="center"/>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165" fontId="43" fillId="0" borderId="0" xfId="0" applyNumberFormat="1" applyFont="1" applyFill="1" applyBorder="1"/>
    <xf numFmtId="0" fontId="5" fillId="0" borderId="0" xfId="0" applyFont="1" applyFill="1" applyAlignment="1">
      <alignment vertical="center"/>
    </xf>
    <xf numFmtId="0" fontId="44" fillId="0" borderId="0" xfId="0" applyFont="1" applyBorder="1"/>
    <xf numFmtId="0" fontId="5" fillId="0" borderId="14" xfId="0" applyFont="1" applyBorder="1"/>
    <xf numFmtId="0" fontId="5" fillId="0" borderId="16" xfId="0" applyFont="1" applyBorder="1" applyAlignment="1">
      <alignment horizontal="center"/>
    </xf>
    <xf numFmtId="0" fontId="5" fillId="0" borderId="16" xfId="0" applyFont="1" applyBorder="1" applyAlignment="1">
      <alignment horizontal="center" vertical="top" wrapText="1"/>
    </xf>
    <xf numFmtId="0" fontId="5" fillId="0" borderId="16" xfId="0" applyFont="1" applyBorder="1"/>
    <xf numFmtId="165" fontId="26" fillId="0" borderId="16" xfId="0" applyNumberFormat="1" applyFont="1" applyBorder="1"/>
    <xf numFmtId="165" fontId="26" fillId="0" borderId="35" xfId="1" applyNumberFormat="1" applyFont="1" applyFill="1" applyBorder="1"/>
    <xf numFmtId="164" fontId="26" fillId="0" borderId="36" xfId="2" applyNumberFormat="1" applyFont="1" applyFill="1" applyBorder="1"/>
    <xf numFmtId="164" fontId="26" fillId="0" borderId="19" xfId="2" applyNumberFormat="1" applyFont="1" applyFill="1" applyBorder="1"/>
    <xf numFmtId="0" fontId="0" fillId="3" borderId="37" xfId="0" applyFill="1" applyBorder="1"/>
    <xf numFmtId="0" fontId="0" fillId="3" borderId="38" xfId="0" applyFill="1" applyBorder="1"/>
    <xf numFmtId="0" fontId="5" fillId="0" borderId="38" xfId="0" applyFont="1" applyBorder="1"/>
    <xf numFmtId="0" fontId="5" fillId="0" borderId="39" xfId="0" applyFont="1" applyBorder="1"/>
    <xf numFmtId="0" fontId="0" fillId="0" borderId="40" xfId="0" applyBorder="1"/>
    <xf numFmtId="0" fontId="0" fillId="0" borderId="41" xfId="0" applyBorder="1"/>
    <xf numFmtId="0" fontId="5" fillId="0" borderId="41" xfId="0" applyFont="1" applyBorder="1"/>
    <xf numFmtId="0" fontId="5" fillId="0" borderId="42" xfId="0" applyFont="1" applyBorder="1"/>
    <xf numFmtId="0" fontId="0" fillId="0" borderId="41" xfId="0" applyBorder="1" applyAlignment="1">
      <alignment wrapText="1"/>
    </xf>
    <xf numFmtId="0" fontId="0" fillId="0" borderId="42" xfId="0" applyBorder="1" applyAlignment="1">
      <alignment wrapText="1"/>
    </xf>
    <xf numFmtId="0" fontId="5" fillId="0" borderId="41" xfId="0" applyFont="1" applyBorder="1" applyAlignment="1">
      <alignment wrapText="1"/>
    </xf>
    <xf numFmtId="0" fontId="5" fillId="0" borderId="42" xfId="0" applyFont="1" applyFill="1" applyBorder="1" applyAlignment="1">
      <alignment wrapText="1"/>
    </xf>
    <xf numFmtId="0" fontId="0" fillId="0" borderId="43" xfId="0" applyBorder="1"/>
    <xf numFmtId="0" fontId="0" fillId="0" borderId="44" xfId="0" applyBorder="1"/>
    <xf numFmtId="0" fontId="5" fillId="0" borderId="44" xfId="0" applyFont="1" applyBorder="1"/>
    <xf numFmtId="0" fontId="5" fillId="0" borderId="45" xfId="0" applyFont="1" applyBorder="1"/>
    <xf numFmtId="0" fontId="5" fillId="0" borderId="42" xfId="0" applyFont="1" applyBorder="1" applyAlignment="1">
      <alignment wrapText="1"/>
    </xf>
    <xf numFmtId="2" fontId="0" fillId="0" borderId="41" xfId="0" applyNumberFormat="1" applyFill="1" applyBorder="1"/>
    <xf numFmtId="2" fontId="5" fillId="0" borderId="41" xfId="0" applyNumberFormat="1" applyFont="1" applyFill="1" applyBorder="1"/>
    <xf numFmtId="2" fontId="5" fillId="0" borderId="42" xfId="0" applyNumberFormat="1" applyFont="1" applyFill="1" applyBorder="1"/>
    <xf numFmtId="2" fontId="0" fillId="0" borderId="41" xfId="0" applyNumberFormat="1" applyBorder="1"/>
    <xf numFmtId="2" fontId="5" fillId="0" borderId="41" xfId="0" applyNumberFormat="1" applyFont="1" applyBorder="1"/>
    <xf numFmtId="2" fontId="5" fillId="0" borderId="42" xfId="0" applyNumberFormat="1" applyFont="1" applyBorder="1"/>
    <xf numFmtId="0" fontId="5" fillId="0" borderId="41" xfId="0" applyFont="1" applyFill="1" applyBorder="1"/>
    <xf numFmtId="0" fontId="5" fillId="0" borderId="42" xfId="0" applyFont="1" applyFill="1" applyBorder="1"/>
    <xf numFmtId="2" fontId="0" fillId="0" borderId="42" xfId="0" applyNumberFormat="1" applyFill="1" applyBorder="1"/>
    <xf numFmtId="165" fontId="10" fillId="0" borderId="0" xfId="1" applyNumberFormat="1" applyFont="1" applyFill="1" applyBorder="1"/>
    <xf numFmtId="0" fontId="0" fillId="0" borderId="0" xfId="0" applyFont="1" applyFill="1" applyBorder="1"/>
    <xf numFmtId="169" fontId="0" fillId="45" borderId="0" xfId="0" applyNumberFormat="1" applyFill="1"/>
    <xf numFmtId="44" fontId="2" fillId="0" borderId="0" xfId="44" applyNumberFormat="1" applyFont="1" applyAlignment="1">
      <alignment horizontal="right"/>
    </xf>
    <xf numFmtId="10" fontId="2" fillId="4" borderId="0" xfId="2" applyNumberFormat="1" applyFont="1" applyFill="1"/>
    <xf numFmtId="10" fontId="2" fillId="6" borderId="0" xfId="2" applyNumberFormat="1" applyFont="1" applyFill="1"/>
    <xf numFmtId="0" fontId="0" fillId="45" borderId="0" xfId="0" applyFill="1"/>
    <xf numFmtId="10" fontId="2" fillId="4" borderId="31" xfId="2" applyNumberFormat="1" applyFont="1" applyFill="1" applyBorder="1"/>
    <xf numFmtId="10" fontId="2" fillId="6" borderId="31" xfId="2" applyNumberFormat="1" applyFont="1" applyFill="1" applyBorder="1"/>
    <xf numFmtId="10" fontId="2" fillId="4" borderId="20" xfId="2" applyNumberFormat="1" applyFont="1" applyFill="1" applyBorder="1"/>
    <xf numFmtId="10" fontId="2" fillId="6" borderId="20" xfId="2" applyNumberFormat="1" applyFont="1" applyFill="1" applyBorder="1"/>
    <xf numFmtId="9" fontId="2" fillId="0" borderId="0" xfId="2" applyFont="1"/>
    <xf numFmtId="44" fontId="2" fillId="0" borderId="0" xfId="44" applyFont="1"/>
    <xf numFmtId="174" fontId="0" fillId="0" borderId="0" xfId="1" applyNumberFormat="1" applyFont="1"/>
    <xf numFmtId="175" fontId="0" fillId="0" borderId="0" xfId="0" applyNumberFormat="1"/>
    <xf numFmtId="2" fontId="3" fillId="0" borderId="41" xfId="0" applyNumberFormat="1" applyFont="1" applyBorder="1"/>
    <xf numFmtId="0" fontId="3" fillId="45" borderId="0" xfId="0" applyFont="1" applyFill="1"/>
    <xf numFmtId="6" fontId="46" fillId="47" borderId="0" xfId="0" applyNumberFormat="1" applyFont="1" applyFill="1" applyBorder="1" applyAlignment="1">
      <alignment vertical="top" wrapText="1"/>
    </xf>
    <xf numFmtId="174" fontId="46" fillId="47" borderId="0" xfId="1" applyNumberFormat="1" applyFont="1" applyFill="1" applyBorder="1" applyAlignment="1">
      <alignment vertical="top" wrapText="1"/>
    </xf>
    <xf numFmtId="169" fontId="0" fillId="48" borderId="0" xfId="0" applyNumberFormat="1" applyFill="1"/>
    <xf numFmtId="0" fontId="47" fillId="0" borderId="0" xfId="0" applyFont="1" applyFill="1" applyBorder="1" applyProtection="1"/>
    <xf numFmtId="0" fontId="47" fillId="0" borderId="0" xfId="0" applyFont="1" applyProtection="1"/>
    <xf numFmtId="0" fontId="48" fillId="0" borderId="0" xfId="0" applyFont="1" applyProtection="1"/>
    <xf numFmtId="0" fontId="48" fillId="0" borderId="0" xfId="0" applyFont="1" applyFill="1" applyBorder="1" applyProtection="1"/>
    <xf numFmtId="0" fontId="47" fillId="0" borderId="0" xfId="0" applyFont="1" applyBorder="1" applyProtection="1"/>
    <xf numFmtId="0" fontId="48" fillId="0" borderId="0" xfId="0" applyFont="1" applyBorder="1" applyProtection="1"/>
    <xf numFmtId="0" fontId="49" fillId="0" borderId="0" xfId="0" applyFont="1" applyFill="1" applyAlignment="1" applyProtection="1"/>
    <xf numFmtId="0" fontId="49" fillId="40" borderId="0" xfId="0" applyFont="1" applyFill="1" applyProtection="1"/>
    <xf numFmtId="0" fontId="47" fillId="40" borderId="0" xfId="0" applyFont="1" applyFill="1"/>
    <xf numFmtId="0" fontId="50" fillId="0" borderId="0" xfId="0" applyFont="1" applyProtection="1"/>
    <xf numFmtId="0" fontId="50" fillId="0" borderId="0" xfId="0" applyFont="1" applyFill="1" applyBorder="1" applyProtection="1"/>
    <xf numFmtId="0" fontId="47" fillId="0" borderId="0" xfId="0" applyFont="1"/>
    <xf numFmtId="0" fontId="51" fillId="5" borderId="0" xfId="0" applyFont="1" applyFill="1" applyProtection="1"/>
    <xf numFmtId="0" fontId="52" fillId="0" borderId="0" xfId="0" applyFont="1" applyFill="1" applyBorder="1" applyProtection="1"/>
    <xf numFmtId="0" fontId="48" fillId="0" borderId="0" xfId="0" quotePrefix="1" applyFont="1" applyAlignment="1" applyProtection="1"/>
    <xf numFmtId="0" fontId="53" fillId="41" borderId="30" xfId="11" applyFont="1" applyFill="1" applyBorder="1" applyAlignment="1" applyProtection="1">
      <protection locked="0"/>
    </xf>
    <xf numFmtId="0" fontId="54" fillId="0" borderId="0" xfId="11" applyFont="1" applyFill="1" applyBorder="1" applyProtection="1">
      <protection locked="0"/>
    </xf>
    <xf numFmtId="0" fontId="55" fillId="0" borderId="0" xfId="0" applyFont="1" applyProtection="1"/>
    <xf numFmtId="0" fontId="56" fillId="0" borderId="0" xfId="0" applyFont="1" applyProtection="1"/>
    <xf numFmtId="0" fontId="55" fillId="0" borderId="0" xfId="0" applyFont="1" applyAlignment="1" applyProtection="1">
      <alignment vertical="top"/>
    </xf>
    <xf numFmtId="0" fontId="48" fillId="0" borderId="0" xfId="0" applyFont="1" applyAlignment="1" applyProtection="1">
      <alignment vertical="top"/>
    </xf>
    <xf numFmtId="0" fontId="57" fillId="0" borderId="0" xfId="0" applyFont="1" applyProtection="1"/>
    <xf numFmtId="5" fontId="58" fillId="0" borderId="0" xfId="44" applyNumberFormat="1" applyFont="1" applyFill="1" applyBorder="1" applyAlignment="1" applyProtection="1">
      <alignment horizontal="left"/>
      <protection locked="0"/>
    </xf>
    <xf numFmtId="176" fontId="53" fillId="41" borderId="30" xfId="44" applyNumberFormat="1" applyFont="1" applyFill="1" applyBorder="1" applyAlignment="1" applyProtection="1">
      <alignment horizontal="left"/>
    </xf>
    <xf numFmtId="173" fontId="53" fillId="46" borderId="0" xfId="44" applyNumberFormat="1" applyFont="1" applyFill="1" applyBorder="1" applyAlignment="1" applyProtection="1">
      <alignment horizontal="left"/>
    </xf>
    <xf numFmtId="0" fontId="57" fillId="0" borderId="0" xfId="0" applyFont="1"/>
    <xf numFmtId="0" fontId="47" fillId="46" borderId="0" xfId="0" applyFont="1" applyFill="1" applyBorder="1" applyProtection="1"/>
    <xf numFmtId="0" fontId="59" fillId="0" borderId="0" xfId="0" applyFont="1" applyFill="1" applyBorder="1" applyAlignment="1" applyProtection="1"/>
    <xf numFmtId="0" fontId="47" fillId="0" borderId="0" xfId="0" applyFont="1" applyFill="1" applyProtection="1"/>
    <xf numFmtId="0" fontId="60" fillId="5" borderId="30" xfId="0" applyFont="1" applyFill="1" applyBorder="1" applyProtection="1"/>
    <xf numFmtId="0" fontId="61" fillId="0" borderId="0" xfId="0" applyFont="1" applyFill="1" applyBorder="1" applyProtection="1"/>
    <xf numFmtId="0" fontId="61" fillId="0" borderId="30" xfId="0" applyFont="1" applyBorder="1" applyProtection="1"/>
    <xf numFmtId="44" fontId="61" fillId="0" borderId="30" xfId="44" applyFont="1" applyBorder="1" applyProtection="1"/>
    <xf numFmtId="0" fontId="52" fillId="0" borderId="30" xfId="0" applyFont="1" applyBorder="1" applyProtection="1"/>
    <xf numFmtId="0" fontId="60" fillId="0" borderId="0" xfId="0" applyFont="1" applyFill="1" applyBorder="1" applyProtection="1"/>
    <xf numFmtId="0" fontId="61" fillId="0" borderId="0" xfId="0" applyFont="1" applyBorder="1" applyProtection="1"/>
    <xf numFmtId="166" fontId="61" fillId="0" borderId="0" xfId="0" applyNumberFormat="1" applyFont="1" applyBorder="1" applyProtection="1"/>
    <xf numFmtId="43" fontId="47" fillId="0" borderId="0" xfId="1" applyFont="1" applyProtection="1"/>
    <xf numFmtId="44" fontId="47" fillId="0" borderId="0" xfId="0" applyNumberFormat="1" applyFont="1" applyProtection="1"/>
    <xf numFmtId="9" fontId="47" fillId="0" borderId="0" xfId="2" applyFont="1" applyProtection="1"/>
    <xf numFmtId="0" fontId="47" fillId="0" borderId="0" xfId="0" applyFont="1" applyFill="1" applyBorder="1"/>
    <xf numFmtId="0" fontId="1" fillId="0" borderId="0" xfId="0" applyFont="1" applyProtection="1"/>
    <xf numFmtId="0" fontId="1" fillId="0" borderId="0" xfId="0" applyFont="1" applyFill="1" applyBorder="1" applyProtection="1"/>
    <xf numFmtId="0" fontId="51" fillId="5" borderId="0" xfId="0" applyFont="1" applyFill="1" applyBorder="1" applyAlignment="1" applyProtection="1"/>
    <xf numFmtId="0" fontId="47" fillId="0" borderId="30" xfId="0" applyFont="1" applyBorder="1" applyProtection="1"/>
    <xf numFmtId="44" fontId="47" fillId="0" borderId="30" xfId="44" applyFont="1" applyBorder="1" applyProtection="1"/>
    <xf numFmtId="171" fontId="47" fillId="0" borderId="30" xfId="1" applyNumberFormat="1" applyFont="1" applyBorder="1" applyAlignment="1" applyProtection="1">
      <alignment horizontal="left"/>
    </xf>
    <xf numFmtId="165" fontId="47" fillId="0" borderId="30" xfId="1" applyNumberFormat="1" applyFont="1" applyBorder="1" applyAlignment="1" applyProtection="1">
      <alignment horizontal="left"/>
    </xf>
    <xf numFmtId="171" fontId="47" fillId="0" borderId="0" xfId="0" applyNumberFormat="1" applyFont="1"/>
    <xf numFmtId="165" fontId="47" fillId="0" borderId="0" xfId="0" applyNumberFormat="1" applyFont="1" applyProtection="1"/>
    <xf numFmtId="43" fontId="47" fillId="0" borderId="30" xfId="1" applyFont="1" applyBorder="1" applyProtection="1"/>
    <xf numFmtId="43" fontId="47" fillId="0" borderId="30" xfId="0" applyNumberFormat="1" applyFont="1" applyBorder="1" applyProtection="1"/>
    <xf numFmtId="43" fontId="47" fillId="0" borderId="0" xfId="0" applyNumberFormat="1" applyFont="1" applyProtection="1"/>
    <xf numFmtId="15" fontId="55" fillId="0" borderId="0" xfId="0" quotePrefix="1" applyNumberFormat="1" applyFont="1" applyAlignment="1" applyProtection="1">
      <alignment horizontal="left"/>
    </xf>
    <xf numFmtId="16" fontId="55" fillId="0" borderId="0" xfId="0" applyNumberFormat="1" applyFont="1" applyAlignment="1" applyProtection="1">
      <alignment horizontal="left"/>
    </xf>
    <xf numFmtId="43" fontId="60" fillId="39" borderId="30" xfId="1" applyFont="1" applyFill="1" applyBorder="1" applyAlignment="1" applyProtection="1">
      <alignment horizontal="center" wrapText="1"/>
    </xf>
    <xf numFmtId="43" fontId="60" fillId="39" borderId="30" xfId="1" applyFont="1" applyFill="1" applyBorder="1" applyAlignment="1" applyProtection="1">
      <alignment horizontal="center"/>
    </xf>
    <xf numFmtId="43" fontId="60" fillId="44" borderId="30" xfId="1" applyFont="1" applyFill="1" applyBorder="1" applyAlignment="1" applyProtection="1">
      <alignment horizontal="center"/>
    </xf>
    <xf numFmtId="43" fontId="60" fillId="42" borderId="30" xfId="1" applyFont="1" applyFill="1" applyBorder="1" applyAlignment="1" applyProtection="1">
      <alignment horizontal="center"/>
    </xf>
    <xf numFmtId="43" fontId="60" fillId="42" borderId="30" xfId="1" applyFont="1" applyFill="1" applyBorder="1" applyAlignment="1" applyProtection="1">
      <alignment horizontal="center" wrapText="1"/>
    </xf>
    <xf numFmtId="43" fontId="60" fillId="43" borderId="30" xfId="1" applyFont="1" applyFill="1" applyBorder="1" applyAlignment="1" applyProtection="1">
      <alignment horizontal="center" wrapText="1"/>
    </xf>
    <xf numFmtId="177" fontId="53" fillId="41" borderId="30" xfId="44" applyNumberFormat="1" applyFont="1" applyFill="1" applyBorder="1" applyAlignment="1" applyProtection="1">
      <alignment horizontal="left"/>
      <protection locked="0"/>
    </xf>
    <xf numFmtId="165" fontId="10" fillId="0" borderId="30" xfId="0" applyNumberFormat="1" applyFont="1" applyFill="1" applyBorder="1"/>
    <xf numFmtId="165" fontId="10" fillId="0" borderId="30" xfId="0" applyNumberFormat="1" applyFont="1" applyBorder="1"/>
    <xf numFmtId="0" fontId="0" fillId="7" borderId="37" xfId="0" applyFill="1" applyBorder="1"/>
    <xf numFmtId="0" fontId="0" fillId="7" borderId="38" xfId="0" applyFill="1" applyBorder="1"/>
    <xf numFmtId="169" fontId="0" fillId="0" borderId="0" xfId="0" applyNumberFormat="1" applyFill="1" applyBorder="1"/>
    <xf numFmtId="0" fontId="66" fillId="45" borderId="30" xfId="45" applyFont="1" applyFill="1" applyBorder="1" applyAlignment="1">
      <alignment horizontal="right" vertical="top"/>
    </xf>
    <xf numFmtId="6" fontId="66" fillId="45" borderId="30" xfId="45" applyNumberFormat="1" applyFont="1" applyFill="1" applyBorder="1" applyAlignment="1">
      <alignment horizontal="right" vertical="top"/>
    </xf>
    <xf numFmtId="10" fontId="66" fillId="45" borderId="30" xfId="45" applyNumberFormat="1" applyFont="1" applyFill="1" applyBorder="1" applyAlignment="1">
      <alignment horizontal="right" vertical="top"/>
    </xf>
    <xf numFmtId="169" fontId="0" fillId="0" borderId="0" xfId="0" applyNumberFormat="1" applyFill="1"/>
    <xf numFmtId="0" fontId="5" fillId="0" borderId="38" xfId="0" quotePrefix="1" applyFont="1" applyBorder="1"/>
    <xf numFmtId="0" fontId="48" fillId="0" borderId="0" xfId="0" applyFont="1" applyAlignment="1" applyProtection="1">
      <alignment horizontal="left" wrapText="1"/>
    </xf>
    <xf numFmtId="0" fontId="51" fillId="5" borderId="0" xfId="0" applyFont="1" applyFill="1" applyBorder="1" applyAlignment="1" applyProtection="1">
      <alignment wrapText="1"/>
    </xf>
    <xf numFmtId="0" fontId="51" fillId="5" borderId="0" xfId="0" applyFont="1" applyFill="1" applyBorder="1" applyAlignment="1" applyProtection="1"/>
    <xf numFmtId="0" fontId="51" fillId="5" borderId="0" xfId="0" applyFont="1" applyFill="1" applyBorder="1" applyAlignment="1" applyProtection="1">
      <alignment vertical="top"/>
    </xf>
    <xf numFmtId="0" fontId="49" fillId="40" borderId="0" xfId="0" applyFont="1" applyFill="1" applyAlignment="1" applyProtection="1"/>
    <xf numFmtId="0" fontId="51" fillId="5" borderId="0" xfId="0" applyFont="1" applyFill="1" applyBorder="1" applyAlignment="1" applyProtection="1">
      <alignment horizontal="center" vertical="center"/>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48" fillId="0" borderId="0" xfId="0" applyFont="1" applyFill="1" applyBorder="1" applyAlignment="1" applyProtection="1">
      <alignment horizontal="left" wrapText="1"/>
    </xf>
    <xf numFmtId="49" fontId="29" fillId="0" borderId="0" xfId="1" applyNumberFormat="1" applyFont="1" applyAlignment="1">
      <alignment horizontal="center"/>
    </xf>
    <xf numFmtId="49" fontId="29" fillId="0" borderId="0" xfId="0" applyNumberFormat="1" applyFont="1" applyAlignment="1">
      <alignment horizontal="center"/>
    </xf>
    <xf numFmtId="49" fontId="29" fillId="0" borderId="0" xfId="2" applyNumberFormat="1" applyFont="1" applyAlignment="1">
      <alignment horizontal="center"/>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erekening" xfId="13" builtinId="22" customBuiltin="1"/>
    <cellStyle name="Controlecel" xfId="15" builtinId="23" customBuiltin="1"/>
    <cellStyle name="Gekoppelde cel" xfId="14" builtinId="24" customBuiltin="1"/>
    <cellStyle name="Goed" xfId="8" builtinId="26" customBuiltin="1"/>
    <cellStyle name="Invoer" xfId="11" builtinId="20" customBuiltin="1"/>
    <cellStyle name="Komma" xfId="1" builtinId="3"/>
    <cellStyle name="Kop 1" xfId="4" builtinId="16" customBuiltin="1"/>
    <cellStyle name="Kop 2" xfId="5" builtinId="17" customBuiltin="1"/>
    <cellStyle name="Kop 3" xfId="6" builtinId="18" customBuiltin="1"/>
    <cellStyle name="Kop 4" xfId="7" builtinId="19" customBuiltin="1"/>
    <cellStyle name="Neutraal" xfId="10" builtinId="28" customBuiltin="1"/>
    <cellStyle name="Notitie" xfId="17" builtinId="10" customBuiltin="1"/>
    <cellStyle name="Ongeldig" xfId="9" builtinId="27" customBuiltin="1"/>
    <cellStyle name="Procent" xfId="2" builtinId="5"/>
    <cellStyle name="Standaard" xfId="0" builtinId="0"/>
    <cellStyle name="Standaard 2 3" xfId="45"/>
    <cellStyle name="Titel" xfId="3" builtinId="15" customBuiltin="1"/>
    <cellStyle name="Totaal" xfId="19" builtinId="25" customBuiltin="1"/>
    <cellStyle name="Uitvoer" xfId="12" builtinId="21" customBuiltin="1"/>
    <cellStyle name="Valuta" xfId="44" builtinId="4"/>
    <cellStyle name="Verklarende tekst" xfId="18" builtinId="53" customBuiltin="1"/>
    <cellStyle name="Waarschuwingstekst" xfId="16" builtinId="11" customBuiltin="1"/>
  </cellStyles>
  <dxfs count="0"/>
  <tableStyles count="0" defaultTableStyle="TableStyleMedium2" defaultPivotStyle="PivotStyleLight16"/>
  <colors>
    <mruColors>
      <color rgb="FFCCE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GridLines="0" showRowColHeaders="0" tabSelected="1" zoomScale="130" zoomScaleNormal="130" workbookViewId="0">
      <selection activeCell="C5" sqref="C5"/>
    </sheetView>
  </sheetViews>
  <sheetFormatPr defaultColWidth="0" defaultRowHeight="12.75" zeroHeight="1" x14ac:dyDescent="0.2"/>
  <cols>
    <col min="1" max="2" width="4.7109375" style="268" customWidth="1"/>
    <col min="3" max="3" width="70.28515625" style="268" customWidth="1"/>
    <col min="4" max="4" width="4.28515625" style="267" customWidth="1"/>
    <col min="5" max="5" width="18.5703125" style="267" customWidth="1"/>
    <col min="6" max="8" width="14.85546875" style="268" customWidth="1"/>
    <col min="9" max="9" width="15.7109375" style="268" customWidth="1"/>
    <col min="10" max="10" width="19.28515625" style="278" customWidth="1"/>
    <col min="11" max="11" width="4.85546875" style="268" customWidth="1"/>
    <col min="12" max="12" width="16.85546875" style="268" hidden="1" customWidth="1"/>
    <col min="13" max="13" width="62" style="267" hidden="1" customWidth="1"/>
    <col min="14" max="15" width="0" style="268" hidden="1" customWidth="1"/>
    <col min="16" max="16384" width="9.140625" style="268" hidden="1"/>
  </cols>
  <sheetData>
    <row r="1" spans="1:10" ht="22.5" x14ac:dyDescent="0.3">
      <c r="A1" s="273"/>
      <c r="B1" s="343" t="s">
        <v>251</v>
      </c>
      <c r="C1" s="343"/>
      <c r="D1" s="343"/>
      <c r="E1" s="343"/>
      <c r="F1" s="343"/>
      <c r="G1" s="343"/>
      <c r="H1" s="343"/>
      <c r="I1" s="274"/>
      <c r="J1" s="275"/>
    </row>
    <row r="2" spans="1:10" ht="14.25" customHeight="1" x14ac:dyDescent="0.3">
      <c r="C2" s="276"/>
      <c r="D2" s="277"/>
      <c r="E2" s="277"/>
    </row>
    <row r="3" spans="1:10" x14ac:dyDescent="0.2"/>
    <row r="4" spans="1:10" ht="15" customHeight="1" x14ac:dyDescent="0.2">
      <c r="B4" s="279" t="s">
        <v>126</v>
      </c>
      <c r="C4" s="279" t="s">
        <v>87</v>
      </c>
      <c r="D4" s="280"/>
      <c r="E4" s="280"/>
      <c r="F4" s="281"/>
    </row>
    <row r="5" spans="1:10" ht="15" customHeight="1" x14ac:dyDescent="0.2">
      <c r="C5" s="282" t="s">
        <v>226</v>
      </c>
      <c r="D5" s="283"/>
      <c r="E5" s="281" t="s">
        <v>234</v>
      </c>
      <c r="G5" s="284"/>
      <c r="H5" s="284"/>
    </row>
    <row r="6" spans="1:10" ht="18" x14ac:dyDescent="0.25">
      <c r="B6" s="285"/>
      <c r="C6" s="286" t="s">
        <v>232</v>
      </c>
      <c r="E6" s="287" t="s">
        <v>235</v>
      </c>
    </row>
    <row r="7" spans="1:10" ht="18" x14ac:dyDescent="0.25">
      <c r="B7" s="285"/>
      <c r="E7" s="287"/>
    </row>
    <row r="8" spans="1:10" ht="15" x14ac:dyDescent="0.2">
      <c r="B8" s="279" t="s">
        <v>127</v>
      </c>
      <c r="C8" s="279" t="s">
        <v>92</v>
      </c>
      <c r="D8" s="280"/>
      <c r="E8" s="268"/>
    </row>
    <row r="9" spans="1:10" x14ac:dyDescent="0.2">
      <c r="C9" s="284" t="s">
        <v>79</v>
      </c>
      <c r="E9" s="284" t="s">
        <v>80</v>
      </c>
      <c r="G9" s="284"/>
      <c r="H9" s="284"/>
    </row>
    <row r="10" spans="1:10" s="288" customFormat="1" ht="15" x14ac:dyDescent="0.2">
      <c r="B10" s="288" t="s">
        <v>138</v>
      </c>
      <c r="C10" s="328" t="s">
        <v>239</v>
      </c>
      <c r="D10" s="289"/>
      <c r="E10" s="290">
        <f>VLOOKUP(C10,'Tabel 2021 52 weken'!A33:B101,2)</f>
        <v>20302</v>
      </c>
      <c r="G10" s="291"/>
      <c r="H10" s="291"/>
      <c r="J10" s="292"/>
    </row>
    <row r="11" spans="1:10" x14ac:dyDescent="0.2">
      <c r="C11" s="284" t="s">
        <v>130</v>
      </c>
      <c r="G11" s="293"/>
      <c r="H11" s="293"/>
    </row>
    <row r="12" spans="1:10" x14ac:dyDescent="0.2"/>
    <row r="13" spans="1:10" ht="15" customHeight="1" x14ac:dyDescent="0.2">
      <c r="B13" s="342" t="s">
        <v>215</v>
      </c>
      <c r="C13" s="340" t="s">
        <v>252</v>
      </c>
      <c r="E13" s="344" t="s">
        <v>122</v>
      </c>
      <c r="F13" s="344"/>
      <c r="G13" s="344"/>
      <c r="H13" s="344"/>
      <c r="I13" s="344"/>
    </row>
    <row r="14" spans="1:10" ht="15" customHeight="1" x14ac:dyDescent="0.2">
      <c r="B14" s="342"/>
      <c r="C14" s="341"/>
      <c r="D14" s="294"/>
      <c r="E14" s="344"/>
      <c r="F14" s="344"/>
      <c r="G14" s="344"/>
      <c r="H14" s="344"/>
      <c r="I14" s="344"/>
    </row>
    <row r="15" spans="1:10" s="295" customFormat="1" x14ac:dyDescent="0.2">
      <c r="C15" s="280"/>
      <c r="D15" s="280"/>
      <c r="E15" s="280"/>
      <c r="F15" s="280"/>
      <c r="G15" s="280"/>
      <c r="H15" s="280"/>
      <c r="I15" s="280"/>
    </row>
    <row r="16" spans="1:10" ht="39" customHeight="1" x14ac:dyDescent="0.2">
      <c r="B16" s="268" t="s">
        <v>131</v>
      </c>
      <c r="C16" s="296" t="s">
        <v>128</v>
      </c>
      <c r="D16" s="297"/>
      <c r="E16" s="322" t="s">
        <v>247</v>
      </c>
      <c r="F16" s="323" t="s">
        <v>90</v>
      </c>
      <c r="G16" s="324" t="s">
        <v>120</v>
      </c>
      <c r="H16" s="325" t="s">
        <v>233</v>
      </c>
      <c r="I16" s="326" t="s">
        <v>246</v>
      </c>
    </row>
    <row r="17" spans="2:13" ht="15" customHeight="1" x14ac:dyDescent="0.2">
      <c r="C17" s="298" t="s">
        <v>123</v>
      </c>
      <c r="D17" s="297"/>
      <c r="E17" s="299">
        <f>IF(E48="niet mogelijk","niet mogelijk",E48*'Tabel 2021 52 weken incl. 27,5 '!$H28)</f>
        <v>119.20125</v>
      </c>
      <c r="F17" s="299">
        <f>IF(F48=0,"n.v.t.",F48*'Tabel 2021 52 weken'!$H28)</f>
        <v>104.20333333333333</v>
      </c>
      <c r="G17" s="299">
        <f>IF(G48=0,"n.v.t.",G48*'Tabel 2021 48 weken'!$H28)</f>
        <v>81.28</v>
      </c>
      <c r="H17" s="299">
        <f>H48*'Tabel 2021 40 weken'!$H28</f>
        <v>27.033333333333331</v>
      </c>
      <c r="I17" s="299">
        <f>H17*12/11</f>
        <v>29.490909090909089</v>
      </c>
    </row>
    <row r="18" spans="2:13" ht="15" customHeight="1" x14ac:dyDescent="0.2">
      <c r="C18" s="311" t="s">
        <v>242</v>
      </c>
      <c r="D18" s="301"/>
      <c r="E18" s="299">
        <f>IF(E48="niet mogelijk","niet mogelijk",VLOOKUP($C$10,'Tabel 2021 52 weken incl. 27,5 '!$A$33:$N$101,8)*E$48)</f>
        <v>7.1620500000000096</v>
      </c>
      <c r="F18" s="299">
        <f>IF(F48=0,"n.v.t.",VLOOKUP($C$10,'Tabel 2021 52 weken'!$A$33:$N$101,8)*F$48)</f>
        <v>7.6081333333333356</v>
      </c>
      <c r="G18" s="299">
        <f>IF(G48=0,"n.v.t.",VLOOKUP($C$10,'Tabel 2021 48 weken'!$A$33:$N$101,8)*G$48)</f>
        <v>9.3952000000000062</v>
      </c>
      <c r="H18" s="299">
        <f>VLOOKUP($C$10,'Tabel 2021 40 weken'!$A$33:$N$101,8)*H$48</f>
        <v>4.5693333333333337</v>
      </c>
      <c r="I18" s="299">
        <f>H18*12/11</f>
        <v>4.9847272727272731</v>
      </c>
    </row>
    <row r="19" spans="2:13" ht="15" customHeight="1" x14ac:dyDescent="0.2">
      <c r="C19" s="311" t="s">
        <v>243</v>
      </c>
      <c r="D19" s="301"/>
      <c r="E19" s="299">
        <f>IF(E48="niet mogelijk","niet mogelijk",VLOOKUP($C$10,'Tabel 2021 52 weken incl. 27,5 '!$A$33:$N$101,14)*E$48)</f>
        <v>7.1620500000000096</v>
      </c>
      <c r="F19" s="299">
        <f>IF(F48=0,"n.v.t.",VLOOKUP($C$10,'Tabel 2021 52 weken'!$A$33:$N$101,14)*F$48)</f>
        <v>7.6081333333333356</v>
      </c>
      <c r="G19" s="299">
        <f>IF(G48=0,"n.v.t.",VLOOKUP($C$10,'Tabel 2021 48 weken'!$A$33:$N$101,14)*G$48)</f>
        <v>9.3952000000000062</v>
      </c>
      <c r="H19" s="299">
        <f>VLOOKUP($C$10,'Tabel 2021 40 weken'!$A$33:$N$101,14)*H$48</f>
        <v>4.5693333333333337</v>
      </c>
      <c r="I19" s="299">
        <f>H19*12/11</f>
        <v>4.9847272727272731</v>
      </c>
    </row>
    <row r="20" spans="2:13" x14ac:dyDescent="0.2">
      <c r="C20" s="302"/>
      <c r="D20" s="297"/>
      <c r="E20" s="303"/>
      <c r="F20" s="303"/>
      <c r="G20" s="303"/>
      <c r="H20" s="303"/>
      <c r="I20" s="303"/>
      <c r="K20" s="304"/>
    </row>
    <row r="21" spans="2:13" ht="39" customHeight="1" x14ac:dyDescent="0.2">
      <c r="B21" s="268" t="s">
        <v>132</v>
      </c>
      <c r="C21" s="296" t="s">
        <v>134</v>
      </c>
      <c r="D21" s="297"/>
      <c r="E21" s="322" t="s">
        <v>247</v>
      </c>
      <c r="F21" s="323" t="s">
        <v>90</v>
      </c>
      <c r="G21" s="324" t="s">
        <v>120</v>
      </c>
      <c r="H21" s="325" t="s">
        <v>233</v>
      </c>
      <c r="I21" s="326" t="s">
        <v>246</v>
      </c>
      <c r="K21" s="304"/>
    </row>
    <row r="22" spans="2:13" ht="15" customHeight="1" x14ac:dyDescent="0.2">
      <c r="C22" s="298" t="s">
        <v>123</v>
      </c>
      <c r="D22" s="297"/>
      <c r="E22" s="299">
        <f>IF(E53="niet mogelijk","niet mogelijk",E53*'Tabel 2021 52 weken incl. 27,5 '!$H28)</f>
        <v>202.85124999999999</v>
      </c>
      <c r="F22" s="299">
        <f>IF(F53=0,"n.v.t.",F53*'Tabel 2021 52 weken'!$H28)</f>
        <v>189.01999999999998</v>
      </c>
      <c r="G22" s="299">
        <f>IF(G53=0,"n.v.t.",G53*'Tabel 2021 48 weken'!$H28)</f>
        <v>170.18</v>
      </c>
      <c r="H22" s="299">
        <f>H53*'Tabel 2021 40 weken'!$H28</f>
        <v>121.64999999999999</v>
      </c>
      <c r="I22" s="299">
        <f>H22*12/11</f>
        <v>132.70909090909092</v>
      </c>
      <c r="K22" s="305"/>
      <c r="L22" s="306"/>
      <c r="M22" s="307"/>
    </row>
    <row r="23" spans="2:13" ht="15" customHeight="1" x14ac:dyDescent="0.2">
      <c r="C23" s="311" t="s">
        <v>242</v>
      </c>
      <c r="D23" s="301"/>
      <c r="E23" s="299">
        <f>IF(E53="niet mogelijk","niet mogelijk",VLOOKUP($C$10,'Tabel 2021 52 weken incl. 27,5 '!$A$33:$N$101,8)*E$53)</f>
        <v>12.188050000000016</v>
      </c>
      <c r="F23" s="299">
        <f>IF(F53=0,"n.v.t.",VLOOKUP($C$10,'Tabel 2021 52 weken'!$A$33:$N$101,8)*F$53)</f>
        <v>13.800800000000004</v>
      </c>
      <c r="G23" s="299">
        <f>IF(G53=0,"n.v.t.",VLOOKUP($C$10,'Tabel 2021 48 weken'!$A$33:$N$101,8)*G$53)</f>
        <v>19.671200000000013</v>
      </c>
      <c r="H23" s="299">
        <f>VLOOKUP($C$10,'Tabel 2021 40 weken'!$A$33:$N$101,8)*H$53</f>
        <v>20.562000000000001</v>
      </c>
      <c r="I23" s="299">
        <f>H23*12/11</f>
        <v>22.431272727272731</v>
      </c>
      <c r="K23" s="305"/>
      <c r="L23" s="304"/>
      <c r="M23" s="307"/>
    </row>
    <row r="24" spans="2:13" ht="15" customHeight="1" x14ac:dyDescent="0.2">
      <c r="C24" s="311" t="s">
        <v>243</v>
      </c>
      <c r="D24" s="301"/>
      <c r="E24" s="299">
        <f>IF(E53="niet mogelijk","niet mogelijk",VLOOKUP($C$10,'Tabel 2021 52 weken incl. 27,5 '!$A$33:$N$101,14)*E$53)</f>
        <v>12.188050000000016</v>
      </c>
      <c r="F24" s="299">
        <f>IF(F53=0,"n.v.t.",VLOOKUP($C$10,'Tabel 2021 52 weken'!$A$33:$N$101,14)*F$53)</f>
        <v>13.800800000000004</v>
      </c>
      <c r="G24" s="299">
        <f>IF(G48=0,"n.v.t.",VLOOKUP($C$10,'Tabel 2021 48 weken'!$A$33:$N$101,14)*G$53)</f>
        <v>19.671200000000013</v>
      </c>
      <c r="H24" s="299">
        <f>VLOOKUP($C$10,'Tabel 2021 40 weken'!$A$33:$N$101,14)*H$53</f>
        <v>20.562000000000001</v>
      </c>
      <c r="I24" s="299">
        <f>H24*12/11</f>
        <v>22.431272727272731</v>
      </c>
      <c r="K24" s="305"/>
      <c r="L24" s="306"/>
      <c r="M24" s="307"/>
    </row>
    <row r="25" spans="2:13" x14ac:dyDescent="0.2">
      <c r="E25" s="268"/>
      <c r="M25" s="307"/>
    </row>
    <row r="26" spans="2:13" ht="39" customHeight="1" x14ac:dyDescent="0.2">
      <c r="B26" s="268" t="s">
        <v>133</v>
      </c>
      <c r="C26" s="296" t="s">
        <v>135</v>
      </c>
      <c r="D26" s="297"/>
      <c r="E26" s="322" t="s">
        <v>247</v>
      </c>
      <c r="F26" s="323" t="s">
        <v>90</v>
      </c>
      <c r="G26" s="324" t="s">
        <v>120</v>
      </c>
      <c r="H26" s="325" t="s">
        <v>233</v>
      </c>
      <c r="I26" s="326" t="s">
        <v>246</v>
      </c>
      <c r="M26" s="307"/>
    </row>
    <row r="27" spans="2:13" ht="15" customHeight="1" x14ac:dyDescent="0.2">
      <c r="C27" s="298" t="s">
        <v>123</v>
      </c>
      <c r="D27" s="297"/>
      <c r="E27" s="299">
        <f>IF(E58="niet mogelijk","niet mogelijk",E58*'Tabel 2021 52 weken incl. 27,5 '!$H28)</f>
        <v>226.75125</v>
      </c>
      <c r="F27" s="299">
        <f>IF(F58=0,"n.v.t.",F58*'Tabel 2021 52 weken'!$H28)</f>
        <v>213.2533333333333</v>
      </c>
      <c r="G27" s="299">
        <f>IF(G58=0,"n.v.t.",G58*'Tabel 2021 48 weken'!$H28)</f>
        <v>195.58</v>
      </c>
      <c r="H27" s="299">
        <f>H58*'Tabel 2021 40 weken'!$H28</f>
        <v>148.68333333333331</v>
      </c>
      <c r="I27" s="299">
        <f>H27*12/11</f>
        <v>162.19999999999999</v>
      </c>
      <c r="K27" s="305"/>
      <c r="L27" s="306"/>
      <c r="M27" s="307"/>
    </row>
    <row r="28" spans="2:13" ht="15" customHeight="1" x14ac:dyDescent="0.2">
      <c r="C28" s="311" t="s">
        <v>242</v>
      </c>
      <c r="D28" s="301"/>
      <c r="E28" s="299">
        <f>IF(E58="niet mogelijk","niet mogelijk",VLOOKUP($C$10,'Tabel 2021 52 weken incl. 27,5 '!$A$33:$N$101,8)*E$58)</f>
        <v>13.624050000000018</v>
      </c>
      <c r="F28" s="299">
        <f>IF(F58=0,"n.v.t.",VLOOKUP($C$10,'Tabel 2021 52 weken'!$A$33:$N$101,8)*F$58)</f>
        <v>15.570133333333338</v>
      </c>
      <c r="G28" s="299">
        <f>IF(G58=0,"n.v.t.",VLOOKUP($C$10,'Tabel 2021 48 weken'!$A$33:$N$101,8)*G$58)</f>
        <v>22.60720000000002</v>
      </c>
      <c r="H28" s="299">
        <f>VLOOKUP($C$10,'Tabel 2021 40 weken'!$A$33:$N$101,8)*H$58</f>
        <v>25.13133333333333</v>
      </c>
      <c r="I28" s="299">
        <f>H28*12/11</f>
        <v>27.415999999999997</v>
      </c>
      <c r="K28" s="305"/>
      <c r="L28" s="306"/>
      <c r="M28" s="307"/>
    </row>
    <row r="29" spans="2:13" ht="15" customHeight="1" x14ac:dyDescent="0.2">
      <c r="C29" s="311" t="s">
        <v>243</v>
      </c>
      <c r="D29" s="301"/>
      <c r="E29" s="299">
        <f>IF(E58="niet mogelijk","niet mogelijk",VLOOKUP($C$10,'Tabel 2021 52 weken incl. 27,5 '!$A$33:$N$101,14)*E$58)</f>
        <v>13.624050000000018</v>
      </c>
      <c r="F29" s="299">
        <f>IF(F58=0,"n.v.t.",VLOOKUP($C$10,'Tabel 2021 52 weken'!$A$33:$N$101,14)*F$58)</f>
        <v>15.570133333333338</v>
      </c>
      <c r="G29" s="299">
        <f>IF(G58=0,"n.v.t.",VLOOKUP($C$10,'Tabel 2021 48 weken'!$A$33:$N$101,14)*G$58)</f>
        <v>22.60720000000002</v>
      </c>
      <c r="H29" s="299">
        <f>VLOOKUP($C$10,'Tabel 2021 40 weken'!$A$33:$N$101,14)*H$58</f>
        <v>25.13133333333333</v>
      </c>
      <c r="I29" s="299">
        <f>H29*12/11</f>
        <v>27.415999999999997</v>
      </c>
      <c r="K29" s="305"/>
      <c r="L29" s="306"/>
      <c r="M29" s="307"/>
    </row>
    <row r="30" spans="2:13" x14ac:dyDescent="0.2"/>
    <row r="31" spans="2:13" x14ac:dyDescent="0.2">
      <c r="C31" s="308" t="s">
        <v>244</v>
      </c>
      <c r="E31" s="268"/>
    </row>
    <row r="32" spans="2:13" ht="15.75" customHeight="1" x14ac:dyDescent="0.2">
      <c r="C32" s="345" t="s">
        <v>245</v>
      </c>
      <c r="D32" s="345"/>
      <c r="E32" s="345"/>
      <c r="F32" s="345"/>
      <c r="G32" s="345"/>
      <c r="H32" s="345"/>
      <c r="I32" s="345"/>
    </row>
    <row r="33" spans="2:14" x14ac:dyDescent="0.2">
      <c r="C33" s="309"/>
    </row>
    <row r="34" spans="2:14" x14ac:dyDescent="0.2">
      <c r="C34" s="309"/>
    </row>
    <row r="35" spans="2:14" ht="15" x14ac:dyDescent="0.2">
      <c r="B35" s="310" t="s">
        <v>129</v>
      </c>
      <c r="C35" s="310" t="s">
        <v>124</v>
      </c>
    </row>
    <row r="36" spans="2:14" x14ac:dyDescent="0.2"/>
    <row r="37" spans="2:14" x14ac:dyDescent="0.2">
      <c r="B37" s="269" t="s">
        <v>131</v>
      </c>
      <c r="C37" s="269" t="s">
        <v>136</v>
      </c>
    </row>
    <row r="38" spans="2:14" x14ac:dyDescent="0.2">
      <c r="C38" s="269"/>
    </row>
    <row r="39" spans="2:14" ht="39" customHeight="1" x14ac:dyDescent="0.2">
      <c r="C39" s="296"/>
      <c r="E39" s="322" t="s">
        <v>247</v>
      </c>
      <c r="F39" s="323" t="s">
        <v>90</v>
      </c>
      <c r="G39" s="324" t="s">
        <v>120</v>
      </c>
      <c r="H39" s="325" t="s">
        <v>233</v>
      </c>
      <c r="I39" s="326" t="s">
        <v>246</v>
      </c>
      <c r="J39" s="327" t="s">
        <v>236</v>
      </c>
    </row>
    <row r="40" spans="2:14" ht="15" customHeight="1" x14ac:dyDescent="0.2">
      <c r="C40" s="311" t="s">
        <v>125</v>
      </c>
      <c r="E40" s="312">
        <f>+IF(E48="niet mogelijk","niet mogelijk",E17/E48)</f>
        <v>7.17</v>
      </c>
      <c r="F40" s="312">
        <f>+IF(F48=0,"n.v.t.",F17/F48)</f>
        <v>7.27</v>
      </c>
      <c r="G40" s="312">
        <f>+IF(G48=0,"n.v.t.",G17/G48)</f>
        <v>7.62</v>
      </c>
      <c r="H40" s="312">
        <f>IF(H48=0,"n.v.t.",H17/H48)</f>
        <v>8.11</v>
      </c>
      <c r="I40" s="312">
        <f>H40</f>
        <v>8.11</v>
      </c>
      <c r="J40" s="299">
        <f>1*'Flexibel 2021'!$H28</f>
        <v>8.49</v>
      </c>
    </row>
    <row r="41" spans="2:14" ht="15" customHeight="1" x14ac:dyDescent="0.2">
      <c r="C41" s="300" t="s">
        <v>240</v>
      </c>
      <c r="D41" s="280"/>
      <c r="E41" s="312">
        <f>+IF(E48="niet mogelijk","niet mogelijk",E18/E48)</f>
        <v>0.43080000000000057</v>
      </c>
      <c r="F41" s="312">
        <f>+IF(F48=0,"n.v.t.",F18/F48)</f>
        <v>0.53080000000000016</v>
      </c>
      <c r="G41" s="312">
        <f>+IF(G48=0,"n.v.t.",G18/G48)</f>
        <v>0.88080000000000058</v>
      </c>
      <c r="H41" s="312">
        <f>IF(H48=0,"n.v.t.",H18/H48)</f>
        <v>1.3708</v>
      </c>
      <c r="I41" s="312">
        <f>H41</f>
        <v>1.3708</v>
      </c>
      <c r="J41" s="299">
        <f>VLOOKUP($C$10,'Flexibel 2021'!$A$33:$N$101,8)*1</f>
        <v>1.7508000000000008</v>
      </c>
    </row>
    <row r="42" spans="2:14" ht="15" customHeight="1" x14ac:dyDescent="0.2">
      <c r="C42" s="300" t="s">
        <v>241</v>
      </c>
      <c r="D42" s="280"/>
      <c r="E42" s="312">
        <f>+IF(E48="niet mogelijk","niet mogelijk",E19/E48)</f>
        <v>0.43080000000000057</v>
      </c>
      <c r="F42" s="312">
        <f>+IF(F48=0,"n.v.t.",F19/F48)</f>
        <v>0.53080000000000016</v>
      </c>
      <c r="G42" s="312">
        <f>+IF(G48=0,"n.v.t.",G19/G48)</f>
        <v>0.88080000000000058</v>
      </c>
      <c r="H42" s="312">
        <f>IF(H48=0,"n.v.t.",H19/H48)</f>
        <v>1.3708</v>
      </c>
      <c r="I42" s="312">
        <f>H42</f>
        <v>1.3708</v>
      </c>
      <c r="J42" s="299">
        <f>VLOOKUP($C$10,'Flexibel 2021'!$A$33:$N$101,14)*1</f>
        <v>1.7508000000000008</v>
      </c>
    </row>
    <row r="43" spans="2:14" x14ac:dyDescent="0.2">
      <c r="F43" s="305"/>
      <c r="G43" s="305"/>
      <c r="H43" s="305"/>
      <c r="J43" s="268"/>
    </row>
    <row r="44" spans="2:14" x14ac:dyDescent="0.2">
      <c r="B44" s="270" t="s">
        <v>132</v>
      </c>
      <c r="C44" s="270" t="s">
        <v>137</v>
      </c>
      <c r="F44" s="305"/>
      <c r="G44" s="305"/>
      <c r="H44" s="305"/>
      <c r="J44" s="268"/>
    </row>
    <row r="45" spans="2:14" x14ac:dyDescent="0.2">
      <c r="C45" s="270"/>
      <c r="F45" s="305"/>
      <c r="G45" s="305"/>
      <c r="H45" s="305"/>
      <c r="J45" s="268"/>
    </row>
    <row r="46" spans="2:14" ht="38.25" customHeight="1" x14ac:dyDescent="0.2">
      <c r="C46" s="296" t="s">
        <v>128</v>
      </c>
      <c r="D46" s="297"/>
      <c r="E46" s="322" t="s">
        <v>247</v>
      </c>
      <c r="F46" s="323" t="s">
        <v>90</v>
      </c>
      <c r="G46" s="324" t="s">
        <v>120</v>
      </c>
      <c r="H46" s="325" t="s">
        <v>233</v>
      </c>
      <c r="I46" s="326" t="s">
        <v>246</v>
      </c>
    </row>
    <row r="47" spans="2:14" ht="15" customHeight="1" x14ac:dyDescent="0.2">
      <c r="C47" s="311" t="s">
        <v>33</v>
      </c>
      <c r="E47" s="313">
        <f>IF($C$5='Lijst scholen'!$A$29,"niet mogelijk",IF(Voorbeeldberekening!$C$5='Lijst scholen'!$A$30,Schooltijden!L$80/5+27.5,IF(Voorbeeldberekening!$C$5='Lijst scholen'!$A$31,Schooltijden!L$44/5+27.5,IF(Voorbeeldberekening!$C$5='Lijst scholen'!$A$32,Schooltijden!L$130/5+27.5,IF(Voorbeeldberekening!$C$5='Lijst scholen'!$A$32,Schooltijden!L$130/5+27.5,IF(Voorbeeldberekening!$C$5='Lijst scholen'!$A$47,Schooltijden!L$153/5+27.5,IF(Voorbeeldberekening!$C$5='Lijst scholen'!$A$35,Schooltijden!L$142/5+27.5)))))))</f>
        <v>199.5</v>
      </c>
      <c r="F47" s="314">
        <f>IF($C$5='Lijst scholen'!$A$29,Schooltijden!L$68,IF(Voorbeeldberekening!$C$5='Lijst scholen'!$A$30,Schooltijden!L$80,IF(Voorbeeldberekening!$C$5='Lijst scholen'!$A$31,Schooltijden!L$44,IF(Voorbeeldberekening!$C$5='Lijst scholen'!$A$32,Schooltijden!L$130,IF(Voorbeeldberekening!$C$5='Lijst scholen'!$A$32,Schooltijden!L$130,IF(Voorbeeldberekening!$C$5='Lijst scholen'!$A$47,Schooltijden!L$153,IF(Voorbeeldberekening!$C$5='Lijst scholen'!$A$35,Schooltijden!L$142)))))))/5</f>
        <v>172</v>
      </c>
      <c r="G47" s="314">
        <f>IF($C$5='Lijst scholen'!$A$29,Schooltijden!M$68,IF(Voorbeeldberekening!$C$5='Lijst scholen'!$A$30,Schooltijden!M$80,IF(Voorbeeldberekening!$C$5='Lijst scholen'!$A$31,Schooltijden!M$44,IF(Voorbeeldberekening!$C$5='Lijst scholen'!$A$32,Schooltijden!M$130,IF(Voorbeeldberekening!$C$5='Lijst scholen'!$A$32,Schooltijden!M$130,IF(Voorbeeldberekening!$C$5='Lijst scholen'!$A$47,Schooltijden!M$153,IF(Voorbeeldberekening!$C$5='Lijst scholen'!$A$35,Schooltijden!M$142)))))))/5</f>
        <v>128</v>
      </c>
      <c r="H47" s="314">
        <f>IF($C$5='Lijst scholen'!$A$29,Schooltijden!N$68,IF(Voorbeeldberekening!$C$5='Lijst scholen'!$A$30,Schooltijden!N$80,IF(Voorbeeldberekening!$C$5='Lijst scholen'!$A$31,Schooltijden!N$44,IF(Voorbeeldberekening!$C$5='Lijst scholen'!$A$32,Schooltijden!N$130,IF(Voorbeeldberekening!$C$5='Lijst scholen'!$A$32,Schooltijden!N$130,IF(Voorbeeldberekening!$C$5='Lijst scholen'!$A$47,Schooltijden!N$153,IF(Voorbeeldberekening!$C$5='Lijst scholen'!$A$35,Schooltijden!N$142)))))))/5</f>
        <v>40</v>
      </c>
      <c r="I47" s="314">
        <f>H47</f>
        <v>40</v>
      </c>
      <c r="J47" s="315"/>
      <c r="K47" s="316"/>
    </row>
    <row r="48" spans="2:14" ht="15" customHeight="1" x14ac:dyDescent="0.2">
      <c r="C48" s="311" t="s">
        <v>196</v>
      </c>
      <c r="E48" s="317">
        <f>IF(E47="niet mogelijk","niet mogelijk",E47/12)</f>
        <v>16.625</v>
      </c>
      <c r="F48" s="317">
        <f>F47/12</f>
        <v>14.333333333333334</v>
      </c>
      <c r="G48" s="317">
        <f>G47/12</f>
        <v>10.666666666666666</v>
      </c>
      <c r="H48" s="317">
        <f>H47/12</f>
        <v>3.3333333333333335</v>
      </c>
      <c r="I48" s="318">
        <f>H48</f>
        <v>3.3333333333333335</v>
      </c>
      <c r="N48" s="319"/>
    </row>
    <row r="49" spans="2:10" ht="15" customHeight="1" x14ac:dyDescent="0.2">
      <c r="C49" s="311" t="s">
        <v>248</v>
      </c>
      <c r="I49" s="318">
        <f>I48*12/11</f>
        <v>3.6363636363636362</v>
      </c>
    </row>
    <row r="50" spans="2:10" x14ac:dyDescent="0.2"/>
    <row r="51" spans="2:10" ht="38.25" customHeight="1" x14ac:dyDescent="0.2">
      <c r="C51" s="296" t="s">
        <v>134</v>
      </c>
      <c r="E51" s="322" t="s">
        <v>247</v>
      </c>
      <c r="F51" s="323" t="s">
        <v>90</v>
      </c>
      <c r="G51" s="324" t="s">
        <v>120</v>
      </c>
      <c r="H51" s="325" t="s">
        <v>233</v>
      </c>
      <c r="I51" s="326" t="s">
        <v>246</v>
      </c>
    </row>
    <row r="52" spans="2:10" ht="15" customHeight="1" x14ac:dyDescent="0.2">
      <c r="C52" s="311" t="s">
        <v>33</v>
      </c>
      <c r="E52" s="313">
        <f>IF($C$5='Lijst scholen'!$A$29,"niet mogelijk",IF(Voorbeeldberekening!$C$5='Lijst scholen'!$A$30,Schooltijden!L$82/5+27.5,IF(Voorbeeldberekening!$C$5='Lijst scholen'!$A$31,Schooltijden!L$46/5+27.5,IF(Voorbeeldberekening!$C$5='Lijst scholen'!$A$32,Schooltijden!L$132/5+27.5,IF(Voorbeeldberekening!$C$5='Lijst scholen'!$A$32,Schooltijden!L$132/5+27.5,IF(Voorbeeldberekening!$C$5='Lijst scholen'!$A$47,Schooltijden!L$155/5+27.5,IF(Voorbeeldberekening!$C$5='Lijst scholen'!$A$35,Schooltijden!L$144/5+27.5)))))))</f>
        <v>339.5</v>
      </c>
      <c r="F52" s="314">
        <f>IF($C$5='Lijst scholen'!$A$29,Schooltijden!L$70,IF(Voorbeeldberekening!$C$5='Lijst scholen'!$A$30,Schooltijden!L$82,IF(Voorbeeldberekening!$C$5='Lijst scholen'!$A$31,Schooltijden!L$46,IF(Voorbeeldberekening!$C$5='Lijst scholen'!$A$32,Schooltijden!L$132,IF(Voorbeeldberekening!$C$5='Lijst scholen'!$A$32,Schooltijden!L$132,IF(Voorbeeldberekening!$C$5='Lijst scholen'!$A$47,Schooltijden!L$155,IF(Voorbeeldberekening!$C$5='Lijst scholen'!$A$35,Schooltijden!L$144)))))))/5</f>
        <v>312</v>
      </c>
      <c r="G52" s="314">
        <f>IF($C$5='Lijst scholen'!$A$29,Schooltijden!M$70,IF(Voorbeeldberekening!$C$5='Lijst scholen'!$A$30,Schooltijden!M$82,IF(Voorbeeldberekening!$C$5='Lijst scholen'!$A$31,Schooltijden!M$46,IF(Voorbeeldberekening!$C$5='Lijst scholen'!$A$32,Schooltijden!M$132,IF(Voorbeeldberekening!$C$5='Lijst scholen'!$A$32,Schooltijden!M$132,IF(Voorbeeldberekening!$C$5='Lijst scholen'!$A$47,Schooltijden!M$155,IF(Voorbeeldberekening!$C$5='Lijst scholen'!$A$35,Schooltijden!M$144)))))))/5</f>
        <v>268</v>
      </c>
      <c r="H52" s="314">
        <f>IF($C$5='Lijst scholen'!$A$29,Schooltijden!N$70,IF(Voorbeeldberekening!$C$5='Lijst scholen'!$A$30,Schooltijden!N$82,IF(Voorbeeldberekening!$C$5='Lijst scholen'!$A$31,Schooltijden!N$46,IF(Voorbeeldberekening!$C$5='Lijst scholen'!$A$32,Schooltijden!N$132,IF(Voorbeeldberekening!$C$5='Lijst scholen'!$A$32,Schooltijden!N$132,IF(Voorbeeldberekening!$C$5='Lijst scholen'!$A$47,Schooltijden!N$155,IF(Voorbeeldberekening!$C$5='Lijst scholen'!$A$35,Schooltijden!N$144)))))))/5</f>
        <v>180</v>
      </c>
      <c r="I52" s="314">
        <f>H52</f>
        <v>180</v>
      </c>
      <c r="J52" s="315"/>
    </row>
    <row r="53" spans="2:10" ht="15" customHeight="1" x14ac:dyDescent="0.2">
      <c r="C53" s="311" t="s">
        <v>196</v>
      </c>
      <c r="E53" s="317">
        <f>IF(E52="niet mogelijk","niet mogelijk",E52/12)</f>
        <v>28.291666666666668</v>
      </c>
      <c r="F53" s="317">
        <f>F52/12</f>
        <v>26</v>
      </c>
      <c r="G53" s="317">
        <f>G52/12</f>
        <v>22.333333333333332</v>
      </c>
      <c r="H53" s="317">
        <f>H52/12</f>
        <v>15</v>
      </c>
      <c r="I53" s="318">
        <f>H53</f>
        <v>15</v>
      </c>
    </row>
    <row r="54" spans="2:10" ht="15" customHeight="1" x14ac:dyDescent="0.2">
      <c r="C54" s="311" t="s">
        <v>248</v>
      </c>
      <c r="I54" s="318">
        <f>I53*12/11</f>
        <v>16.363636363636363</v>
      </c>
    </row>
    <row r="55" spans="2:10" x14ac:dyDescent="0.2">
      <c r="J55" s="268"/>
    </row>
    <row r="56" spans="2:10" ht="38.25" customHeight="1" x14ac:dyDescent="0.2">
      <c r="C56" s="296" t="s">
        <v>135</v>
      </c>
      <c r="E56" s="322" t="s">
        <v>247</v>
      </c>
      <c r="F56" s="323" t="s">
        <v>90</v>
      </c>
      <c r="G56" s="324" t="s">
        <v>120</v>
      </c>
      <c r="H56" s="325" t="s">
        <v>233</v>
      </c>
      <c r="I56" s="326" t="s">
        <v>246</v>
      </c>
      <c r="J56" s="268"/>
    </row>
    <row r="57" spans="2:10" ht="15" customHeight="1" x14ac:dyDescent="0.2">
      <c r="C57" s="311" t="s">
        <v>33</v>
      </c>
      <c r="E57" s="313">
        <f>IF($C$5='Lijst scholen'!$A$29,"niet mogelijk",IF(Voorbeeldberekening!$C$5='Lijst scholen'!$A$30,Schooltijden!L$81/5+27.5,IF(Voorbeeldberekening!$C$5='Lijst scholen'!$A$31,Schooltijden!L$45/5+27.5,IF(Voorbeeldberekening!$C$5='Lijst scholen'!$A$32,Schooltijden!L$131/5+27.5,IF(Voorbeeldberekening!$C$5='Lijst scholen'!$A$32,Schooltijden!L$131/5+27.5,IF(Voorbeeldberekening!$C$5='Lijst scholen'!$A$47,Schooltijden!L$154/5+27.5,IF(Voorbeeldberekening!$C$5='Lijst scholen'!$A$35,Schooltijden!L$143/5+27.5)))))))</f>
        <v>379.5</v>
      </c>
      <c r="F57" s="314">
        <f>IF($C$5='Lijst scholen'!$A$29,Schooltijden!L$69,IF(Voorbeeldberekening!$C$5='Lijst scholen'!$A$30,Schooltijden!L$81,IF(Voorbeeldberekening!$C$5='Lijst scholen'!$A$31,Schooltijden!L$45,IF(Voorbeeldberekening!$C$5='Lijst scholen'!$A$32,Schooltijden!L$131,IF(Voorbeeldberekening!$C$5='Lijst scholen'!$A$32,Schooltijden!L$131,IF(Voorbeeldberekening!$C$5='Lijst scholen'!$A$47,Schooltijden!L$154,IF(Voorbeeldberekening!$C$5='Lijst scholen'!$A$35,Schooltijden!L$143)))))))/5</f>
        <v>352</v>
      </c>
      <c r="G57" s="314">
        <f>IF($C$5='Lijst scholen'!$A$29,Schooltijden!M$69,IF(Voorbeeldberekening!$C$5='Lijst scholen'!$A$30,Schooltijden!M$81,IF(Voorbeeldberekening!$C$5='Lijst scholen'!$A$31,Schooltijden!M$45,IF(Voorbeeldberekening!$C$5='Lijst scholen'!$A$32,Schooltijden!M$131,IF(Voorbeeldberekening!$C$5='Lijst scholen'!$A$32,Schooltijden!M$131,IF(Voorbeeldberekening!$C$5='Lijst scholen'!$A$47,Schooltijden!M$154,IF(Voorbeeldberekening!$C$5='Lijst scholen'!$A$35,Schooltijden!M$143)))))))/5</f>
        <v>308</v>
      </c>
      <c r="H57" s="314">
        <f>IF($C$5='Lijst scholen'!$A$29,Schooltijden!N$69,IF(Voorbeeldberekening!$C$5='Lijst scholen'!$A$30,Schooltijden!N$81,IF(Voorbeeldberekening!$C$5='Lijst scholen'!$A$31,Schooltijden!N$45,IF(Voorbeeldberekening!$C$5='Lijst scholen'!$A$32,Schooltijden!N$131,IF(Voorbeeldberekening!$C$5='Lijst scholen'!$A$32,Schooltijden!N$131,IF(Voorbeeldberekening!$C$5='Lijst scholen'!$A$47,Schooltijden!N$154,IF(Voorbeeldberekening!$C$5='Lijst scholen'!$A$35,Schooltijden!N$143)))))))/5</f>
        <v>220</v>
      </c>
      <c r="I57" s="314">
        <f>H57</f>
        <v>220</v>
      </c>
      <c r="J57" s="315"/>
    </row>
    <row r="58" spans="2:10" ht="15" customHeight="1" x14ac:dyDescent="0.2">
      <c r="C58" s="311" t="s">
        <v>196</v>
      </c>
      <c r="E58" s="317">
        <f>IF(E57="niet mogelijk","niet mogelijk",E57/12)</f>
        <v>31.625</v>
      </c>
      <c r="F58" s="317">
        <f>F57/12</f>
        <v>29.333333333333332</v>
      </c>
      <c r="G58" s="317">
        <f>G57/12</f>
        <v>25.666666666666668</v>
      </c>
      <c r="H58" s="317">
        <f>H57/12</f>
        <v>18.333333333333332</v>
      </c>
      <c r="I58" s="317">
        <f>H58</f>
        <v>18.333333333333332</v>
      </c>
      <c r="J58" s="268"/>
    </row>
    <row r="59" spans="2:10" ht="15" customHeight="1" x14ac:dyDescent="0.2">
      <c r="C59" s="311" t="s">
        <v>248</v>
      </c>
      <c r="I59" s="318">
        <f>I58*12/11</f>
        <v>20</v>
      </c>
      <c r="J59" s="268"/>
    </row>
    <row r="60" spans="2:10" x14ac:dyDescent="0.2"/>
    <row r="61" spans="2:10" x14ac:dyDescent="0.2">
      <c r="C61" s="308" t="str">
        <f>+C31</f>
        <v>* Een 52 weken contract inclusief 5 studiedagen is alleen af te nemen bij een contract tot 18.30 uur.</v>
      </c>
    </row>
    <row r="62" spans="2:10" x14ac:dyDescent="0.2">
      <c r="C62" s="346" t="str">
        <f>+C32</f>
        <v>** Een 40-wekencontract wordt in 11 termijnen per jaar gefactureerd. Juli wordt niet gefactureerd. Per saldo zijn de totale kosten per jaar uiteraard gelijk.</v>
      </c>
      <c r="D62" s="346"/>
      <c r="E62" s="346"/>
      <c r="F62" s="346"/>
      <c r="G62" s="346"/>
      <c r="H62" s="346"/>
      <c r="I62" s="346"/>
    </row>
    <row r="63" spans="2:10" x14ac:dyDescent="0.2">
      <c r="C63" s="309"/>
    </row>
    <row r="64" spans="2:10" ht="26.25" customHeight="1" x14ac:dyDescent="0.2">
      <c r="B64" s="347" t="s">
        <v>238</v>
      </c>
      <c r="C64" s="347"/>
      <c r="D64" s="347"/>
      <c r="E64" s="347"/>
      <c r="F64" s="347"/>
      <c r="G64" s="347"/>
      <c r="H64" s="347"/>
      <c r="I64" s="347"/>
      <c r="J64" s="347"/>
    </row>
    <row r="65" spans="2:10" x14ac:dyDescent="0.2">
      <c r="C65" s="269"/>
      <c r="D65" s="270"/>
      <c r="E65" s="270"/>
      <c r="J65" s="268"/>
    </row>
    <row r="66" spans="2:10" ht="26.25" customHeight="1" x14ac:dyDescent="0.2">
      <c r="B66" s="339" t="s">
        <v>253</v>
      </c>
      <c r="C66" s="339"/>
      <c r="D66" s="339"/>
      <c r="E66" s="339"/>
      <c r="F66" s="339"/>
      <c r="G66" s="339"/>
      <c r="H66" s="339"/>
      <c r="I66" s="339"/>
      <c r="J66" s="339"/>
    </row>
    <row r="67" spans="2:10" x14ac:dyDescent="0.2">
      <c r="B67" s="271"/>
      <c r="C67" s="272"/>
      <c r="D67" s="271"/>
      <c r="E67" s="271"/>
      <c r="F67" s="271"/>
      <c r="G67" s="271"/>
      <c r="H67" s="271"/>
      <c r="I67" s="271"/>
      <c r="J67" s="271"/>
    </row>
    <row r="68" spans="2:10" hidden="1" x14ac:dyDescent="0.2">
      <c r="B68" s="269"/>
      <c r="D68" s="268"/>
      <c r="E68" s="268"/>
      <c r="J68" s="268"/>
    </row>
    <row r="69" spans="2:10" hidden="1" x14ac:dyDescent="0.2">
      <c r="C69" s="269"/>
      <c r="D69" s="270"/>
      <c r="E69" s="270"/>
    </row>
    <row r="70" spans="2:10" hidden="1" x14ac:dyDescent="0.2">
      <c r="C70" s="269"/>
      <c r="D70" s="270"/>
      <c r="E70" s="270"/>
    </row>
    <row r="71" spans="2:10" hidden="1" x14ac:dyDescent="0.2">
      <c r="C71" s="269"/>
      <c r="D71" s="270"/>
      <c r="E71" s="270"/>
    </row>
    <row r="72" spans="2:10" hidden="1" x14ac:dyDescent="0.2">
      <c r="C72" s="269"/>
    </row>
    <row r="73" spans="2:10" hidden="1" x14ac:dyDescent="0.2">
      <c r="C73" s="269"/>
    </row>
    <row r="74" spans="2:10" hidden="1" x14ac:dyDescent="0.2">
      <c r="D74" s="268"/>
      <c r="E74" s="268"/>
    </row>
    <row r="75" spans="2:10" hidden="1" x14ac:dyDescent="0.2">
      <c r="D75" s="268"/>
      <c r="E75" s="268"/>
    </row>
    <row r="76" spans="2:10" hidden="1" x14ac:dyDescent="0.2">
      <c r="C76" s="269"/>
    </row>
    <row r="77" spans="2:10" hidden="1" x14ac:dyDescent="0.2">
      <c r="B77" s="284"/>
      <c r="C77" s="320"/>
    </row>
    <row r="78" spans="2:10" hidden="1" x14ac:dyDescent="0.2">
      <c r="B78" s="284"/>
      <c r="C78" s="321"/>
    </row>
    <row r="79" spans="2:10" hidden="1" x14ac:dyDescent="0.2">
      <c r="C79" s="284"/>
    </row>
    <row r="80" spans="2:10" hidden="1" x14ac:dyDescent="0.2">
      <c r="C80" s="284"/>
    </row>
    <row r="81" spans="3:3" hidden="1" x14ac:dyDescent="0.2">
      <c r="C81" s="284"/>
    </row>
    <row r="82" spans="3:3" hidden="1" x14ac:dyDescent="0.2"/>
    <row r="83" spans="3:3" hidden="1" x14ac:dyDescent="0.2"/>
  </sheetData>
  <sheetProtection algorithmName="SHA-512" hashValue="mKEDX0svHY4WtcQT9lybemnt2mkkew6CNWbt2jl8zG0QmsMl4df753tf5bSjnSpYd17O/QOidWr37BUFjxqMgQ==" saltValue="Zf7ayOexv0tbAzgUurMzRA==" spinCount="100000" sheet="1" objects="1" scenarios="1"/>
  <sortState ref="C5">
    <sortCondition ref="C5"/>
  </sortState>
  <dataConsolidate/>
  <mergeCells count="8">
    <mergeCell ref="B66:J66"/>
    <mergeCell ref="C13:C14"/>
    <mergeCell ref="B13:B14"/>
    <mergeCell ref="B1:H1"/>
    <mergeCell ref="E13:I14"/>
    <mergeCell ref="C32:I32"/>
    <mergeCell ref="C62:I62"/>
    <mergeCell ref="B64:J64"/>
  </mergeCells>
  <dataValidations xWindow="354" yWindow="218" count="1">
    <dataValidation type="list" allowBlank="1" showInputMessage="1" showErrorMessage="1" sqref="D13">
      <formula1>Scholen</formula1>
    </dataValidation>
  </dataValidations>
  <pageMargins left="0.70866141732283472" right="0.70866141732283472" top="0.74803149606299213" bottom="0.74803149606299213" header="0.31496062992125984" footer="0.31496062992125984"/>
  <pageSetup paperSize="256" scale="48" orientation="portrait" r:id="rId1"/>
  <extLst>
    <ext xmlns:x14="http://schemas.microsoft.com/office/spreadsheetml/2009/9/main" uri="{CCE6A557-97BC-4b89-ADB6-D9C93CAAB3DF}">
      <x14:dataValidations xmlns:xm="http://schemas.microsoft.com/office/excel/2006/main" xWindow="354" yWindow="218" count="2">
        <x14:dataValidation type="list" allowBlank="1" showInputMessage="1" showErrorMessage="1" error="Klik op Annuleren en vervolgens op het pijltje rechts van dit invoervak.">
          <x14:formula1>
            <xm:f>'Tabel 2021 52 weken incl. 27,5 '!$A$33:$A$101</xm:f>
          </x14:formula1>
          <xm:sqref>C10</xm:sqref>
        </x14:dataValidation>
        <x14:dataValidation type="list" showInputMessage="1" showErrorMessage="1" error="Klik op Annuleren en vervolgens op het pijltje rechts van dit invoervak.">
          <x14:formula1>
            <xm:f>'Lijst scholen'!$A$29:$A$32</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17" activePane="bottomLeft" state="frozen"/>
      <selection activeCell="A4" sqref="A4"/>
      <selection pane="bottomLeft" activeCell="A17" sqref="A17"/>
    </sheetView>
  </sheetViews>
  <sheetFormatPr defaultRowHeight="12.75" x14ac:dyDescent="0.2"/>
  <cols>
    <col min="1" max="2" width="12" style="67" customWidth="1"/>
    <col min="3" max="3" width="2.7109375" customWidth="1"/>
    <col min="4" max="4" width="12" style="68" customWidth="1"/>
    <col min="5" max="5" width="2.7109375" customWidth="1"/>
    <col min="6" max="6" width="12" style="69" customWidth="1"/>
    <col min="7" max="7" width="2.7109375" customWidth="1"/>
    <col min="8" max="8" width="12" style="69" customWidth="1"/>
    <col min="9" max="9" width="16.7109375" bestFit="1" customWidth="1"/>
    <col min="10" max="10" width="12" style="68" customWidth="1"/>
    <col min="11" max="11" width="2.7109375" customWidth="1"/>
    <col min="12" max="12" width="12" customWidth="1"/>
    <col min="13" max="13" width="2.7109375" customWidth="1"/>
    <col min="14" max="14" width="12" customWidth="1"/>
    <col min="17" max="17" width="10.7109375" bestFit="1" customWidth="1"/>
  </cols>
  <sheetData>
    <row r="1" spans="1:2" s="1" customFormat="1" ht="19.5" x14ac:dyDescent="0.25">
      <c r="A1" s="63" t="s">
        <v>216</v>
      </c>
    </row>
    <row r="2" spans="1:2" s="1" customFormat="1" x14ac:dyDescent="0.2">
      <c r="A2" s="1" t="s">
        <v>214</v>
      </c>
    </row>
    <row r="3" spans="1:2" s="1" customFormat="1" x14ac:dyDescent="0.2"/>
    <row r="4" spans="1:2" s="1" customFormat="1" x14ac:dyDescent="0.2"/>
    <row r="5" spans="1:2" s="1" customFormat="1" ht="14.25" x14ac:dyDescent="0.2">
      <c r="A5" s="64" t="s">
        <v>55</v>
      </c>
    </row>
    <row r="6" spans="1:2" s="1" customFormat="1" x14ac:dyDescent="0.2"/>
    <row r="7" spans="1:2" s="1" customFormat="1" ht="15" x14ac:dyDescent="0.2">
      <c r="A7" s="65" t="s">
        <v>56</v>
      </c>
      <c r="B7" s="1" t="s">
        <v>57</v>
      </c>
    </row>
    <row r="8" spans="1:2" s="1" customFormat="1" ht="15" x14ac:dyDescent="0.2">
      <c r="A8" s="65" t="s">
        <v>58</v>
      </c>
      <c r="B8" s="1" t="s">
        <v>217</v>
      </c>
    </row>
    <row r="9" spans="1:2" s="1" customFormat="1" ht="15" x14ac:dyDescent="0.2">
      <c r="A9" s="66"/>
      <c r="B9" s="1" t="s">
        <v>59</v>
      </c>
    </row>
    <row r="10" spans="1:2" s="1" customFormat="1" ht="15" x14ac:dyDescent="0.2">
      <c r="A10" s="66"/>
      <c r="B10" s="10" t="s">
        <v>60</v>
      </c>
    </row>
    <row r="11" spans="1:2" s="1" customFormat="1" ht="15" x14ac:dyDescent="0.2">
      <c r="A11" s="66"/>
      <c r="B11" s="10" t="s">
        <v>61</v>
      </c>
    </row>
    <row r="12" spans="1:2" s="1" customFormat="1" ht="15" x14ac:dyDescent="0.2">
      <c r="A12" s="65" t="s">
        <v>62</v>
      </c>
      <c r="B12" s="1" t="s">
        <v>218</v>
      </c>
    </row>
    <row r="13" spans="1:2" s="1" customFormat="1" x14ac:dyDescent="0.2">
      <c r="B13" s="1" t="s">
        <v>59</v>
      </c>
    </row>
    <row r="14" spans="1:2" s="1" customFormat="1" x14ac:dyDescent="0.2">
      <c r="B14" s="10" t="s">
        <v>60</v>
      </c>
    </row>
    <row r="15" spans="1:2" s="1" customFormat="1" x14ac:dyDescent="0.2">
      <c r="B15" s="10" t="s">
        <v>61</v>
      </c>
    </row>
    <row r="16" spans="1:2" s="1" customFormat="1" x14ac:dyDescent="0.2">
      <c r="B16" s="10"/>
    </row>
    <row r="17" spans="1:14" s="1" customFormat="1" x14ac:dyDescent="0.2">
      <c r="B17" s="10"/>
    </row>
    <row r="18" spans="1:14" x14ac:dyDescent="0.2">
      <c r="F18" s="69" t="s">
        <v>63</v>
      </c>
      <c r="J18" s="70"/>
    </row>
    <row r="19" spans="1:14" x14ac:dyDescent="0.2">
      <c r="A19" s="69" t="s">
        <v>64</v>
      </c>
      <c r="D19" s="249">
        <v>8.17</v>
      </c>
      <c r="F19" s="250">
        <f>IF(F28-D19&gt;0,F28-D19,0)</f>
        <v>0.1899999999999995</v>
      </c>
      <c r="L19" s="71"/>
      <c r="N19" s="69"/>
    </row>
    <row r="20" spans="1:14" x14ac:dyDescent="0.2">
      <c r="A20" s="69" t="s">
        <v>65</v>
      </c>
      <c r="D20" s="249">
        <v>7.02</v>
      </c>
      <c r="F20" s="250">
        <f>IF(H28-D20&gt;0,H28-D20,0)</f>
        <v>0.15000000000000036</v>
      </c>
      <c r="N20" s="69"/>
    </row>
    <row r="21" spans="1:14" x14ac:dyDescent="0.2">
      <c r="A21" s="69"/>
      <c r="D21" s="69"/>
      <c r="N21" s="69"/>
    </row>
    <row r="22" spans="1:14" x14ac:dyDescent="0.2">
      <c r="A22" s="69"/>
      <c r="D22" s="69"/>
      <c r="N22" s="69"/>
    </row>
    <row r="23" spans="1:14" x14ac:dyDescent="0.2">
      <c r="A23" s="69"/>
      <c r="D23" s="69"/>
      <c r="N23" s="69"/>
    </row>
    <row r="24" spans="1:14" ht="15" x14ac:dyDescent="0.2">
      <c r="A24" s="348" t="s">
        <v>66</v>
      </c>
      <c r="B24" s="348"/>
      <c r="D24" s="349" t="s">
        <v>67</v>
      </c>
      <c r="E24" s="349"/>
      <c r="F24" s="349"/>
      <c r="G24" s="349"/>
      <c r="H24" s="349"/>
      <c r="I24" s="72"/>
      <c r="J24" s="350" t="s">
        <v>68</v>
      </c>
      <c r="K24" s="350"/>
      <c r="L24" s="350"/>
      <c r="M24" s="350"/>
      <c r="N24" s="350"/>
    </row>
    <row r="25" spans="1:14" x14ac:dyDescent="0.2">
      <c r="A25" s="264" t="s">
        <v>69</v>
      </c>
      <c r="B25" s="264"/>
      <c r="D25" s="251" t="s">
        <v>70</v>
      </c>
      <c r="E25" s="74"/>
      <c r="F25" s="75"/>
      <c r="G25" s="74"/>
      <c r="H25" s="75"/>
      <c r="J25" s="252" t="s">
        <v>70</v>
      </c>
      <c r="K25" s="76"/>
      <c r="L25" s="76"/>
      <c r="M25" s="76"/>
      <c r="N25" s="76"/>
    </row>
    <row r="26" spans="1:14" ht="24" x14ac:dyDescent="0.2">
      <c r="A26" s="264" t="s">
        <v>71</v>
      </c>
      <c r="B26" s="264"/>
      <c r="D26" s="251" t="s">
        <v>72</v>
      </c>
      <c r="E26" s="74"/>
      <c r="F26" s="77" t="s">
        <v>73</v>
      </c>
      <c r="G26" s="78"/>
      <c r="H26" s="77" t="s">
        <v>74</v>
      </c>
      <c r="J26" s="252" t="s">
        <v>72</v>
      </c>
      <c r="K26" s="76"/>
      <c r="L26" s="79" t="s">
        <v>75</v>
      </c>
      <c r="M26" s="76"/>
      <c r="N26" s="79" t="s">
        <v>76</v>
      </c>
    </row>
    <row r="27" spans="1:14" ht="24" x14ac:dyDescent="0.2">
      <c r="A27" s="264" t="s">
        <v>219</v>
      </c>
      <c r="B27" s="265">
        <f>18485/18176</f>
        <v>1.017000440140845</v>
      </c>
      <c r="D27" s="80"/>
      <c r="E27" s="74"/>
      <c r="F27" s="81" t="s">
        <v>77</v>
      </c>
      <c r="G27" s="82"/>
      <c r="H27" s="81" t="s">
        <v>78</v>
      </c>
      <c r="J27" s="83"/>
      <c r="K27" s="76"/>
      <c r="L27" s="84" t="s">
        <v>77</v>
      </c>
      <c r="M27" s="85"/>
      <c r="N27" s="84" t="s">
        <v>78</v>
      </c>
    </row>
    <row r="28" spans="1:14" x14ac:dyDescent="0.2">
      <c r="A28" s="264"/>
      <c r="B28" s="264"/>
      <c r="D28" s="80"/>
      <c r="E28" s="74"/>
      <c r="F28" s="249">
        <v>8.36</v>
      </c>
      <c r="G28" s="82"/>
      <c r="H28" s="249">
        <v>7.17</v>
      </c>
      <c r="I28" t="s">
        <v>224</v>
      </c>
      <c r="J28" s="83"/>
      <c r="K28" s="76"/>
      <c r="L28" s="86">
        <f>F28</f>
        <v>8.36</v>
      </c>
      <c r="M28" s="76"/>
      <c r="N28" s="86">
        <f>H28</f>
        <v>7.17</v>
      </c>
    </row>
    <row r="29" spans="1:14" ht="13.5" thickBot="1" x14ac:dyDescent="0.25">
      <c r="A29" s="264"/>
      <c r="B29" s="264"/>
      <c r="D29" s="80"/>
      <c r="E29" s="74"/>
      <c r="F29" s="75"/>
      <c r="G29" s="74"/>
      <c r="H29" s="266"/>
      <c r="J29" s="83"/>
      <c r="K29" s="76"/>
      <c r="L29" s="76"/>
      <c r="M29" s="76"/>
      <c r="N29" s="76"/>
    </row>
    <row r="30" spans="1:14" x14ac:dyDescent="0.2">
      <c r="A30" s="264" t="s">
        <v>79</v>
      </c>
      <c r="B30" s="264" t="s">
        <v>80</v>
      </c>
      <c r="C30" s="1"/>
      <c r="D30" s="254" t="s">
        <v>81</v>
      </c>
      <c r="E30" s="88"/>
      <c r="F30" s="89" t="s">
        <v>82</v>
      </c>
      <c r="G30" s="88"/>
      <c r="H30" s="89" t="s">
        <v>82</v>
      </c>
      <c r="J30" s="255" t="s">
        <v>83</v>
      </c>
      <c r="K30" s="76"/>
      <c r="L30" s="90" t="s">
        <v>82</v>
      </c>
      <c r="M30" s="76"/>
      <c r="N30" s="90" t="s">
        <v>82</v>
      </c>
    </row>
    <row r="31" spans="1:14" ht="13.5" thickBot="1" x14ac:dyDescent="0.25">
      <c r="A31" s="264"/>
      <c r="B31" s="264"/>
      <c r="C31" s="1"/>
      <c r="D31" s="256" t="s">
        <v>84</v>
      </c>
      <c r="E31" s="88"/>
      <c r="F31" s="92" t="s">
        <v>85</v>
      </c>
      <c r="G31" s="88"/>
      <c r="H31" s="92" t="s">
        <v>85</v>
      </c>
      <c r="J31" s="257" t="s">
        <v>86</v>
      </c>
      <c r="K31" s="76"/>
      <c r="L31" s="93" t="s">
        <v>85</v>
      </c>
      <c r="M31" s="76"/>
      <c r="N31" s="93" t="s">
        <v>85</v>
      </c>
    </row>
    <row r="32" spans="1:14" x14ac:dyDescent="0.2">
      <c r="A32" s="264"/>
      <c r="B32" s="264"/>
      <c r="D32" s="80"/>
      <c r="E32" s="74"/>
      <c r="F32" s="75"/>
      <c r="G32" s="74"/>
      <c r="H32" s="75"/>
      <c r="J32" s="83"/>
      <c r="K32" s="76"/>
      <c r="L32" s="76"/>
      <c r="M32" s="76"/>
      <c r="N32" s="76"/>
    </row>
    <row r="33" spans="1:23" x14ac:dyDescent="0.2">
      <c r="A33" s="334" t="s">
        <v>239</v>
      </c>
      <c r="B33" s="335">
        <v>20302</v>
      </c>
      <c r="C33" s="1"/>
      <c r="D33" s="336">
        <v>0.96</v>
      </c>
      <c r="E33" s="134"/>
      <c r="F33" s="95">
        <f>IF($D$19&gt;=$F$28,($F$28*(100%-D33))+($F$19),$D$19*(100%-D33)+$F$19)</f>
        <v>0.51679999999999982</v>
      </c>
      <c r="G33" s="94"/>
      <c r="H33" s="95">
        <f>IF($D$20&gt;=$H$28,($H$28*(100%-D33))+($F$20),$D$20*(100%-D33)+($F$20))</f>
        <v>0.43080000000000057</v>
      </c>
      <c r="I33" s="1"/>
      <c r="J33" s="336">
        <v>0.96</v>
      </c>
      <c r="K33" s="135"/>
      <c r="L33" s="97">
        <f>IF($D$19&gt;=$L$28,($L$28*(100%-J33))+(F$19),$D$19*(100%-J33)+$F$19)</f>
        <v>0.51679999999999982</v>
      </c>
      <c r="M33" s="96"/>
      <c r="N33" s="97">
        <f>IF($D$20&gt;=$H$28,($H$28*(100%-J33))+($F$20),$D$20*(100%-J33)+($F$20))</f>
        <v>0.43080000000000057</v>
      </c>
      <c r="P33" s="258"/>
    </row>
    <row r="34" spans="1:23" x14ac:dyDescent="0.2">
      <c r="A34" s="335">
        <v>20303</v>
      </c>
      <c r="B34" s="335">
        <v>21654</v>
      </c>
      <c r="C34" s="1"/>
      <c r="D34" s="336">
        <v>0.96</v>
      </c>
      <c r="E34" s="134"/>
      <c r="F34" s="95">
        <f t="shared" ref="F34:F97" si="0">IF($D$19&gt;=$F$28,($F$28*(100%-D34))+($F$19),$D$19*(100%-D34)+$F$19)</f>
        <v>0.51679999999999982</v>
      </c>
      <c r="G34" s="94"/>
      <c r="H34" s="95">
        <f t="shared" ref="H34:H97" si="1">IF($D$20&gt;=$H$28,($H$28*(100%-D34))+($F$20),$D$20*(100%-D34)+($F$20))</f>
        <v>0.43080000000000057</v>
      </c>
      <c r="I34" s="1"/>
      <c r="J34" s="336">
        <v>0.96</v>
      </c>
      <c r="K34" s="135"/>
      <c r="L34" s="97">
        <f t="shared" ref="L34:L97" si="2">IF($D$19&gt;=$L$28,($L$28*(100%-J34))+(F$19),$D$19*(100%-J34)+$F$19)</f>
        <v>0.51679999999999982</v>
      </c>
      <c r="M34" s="96"/>
      <c r="N34" s="97">
        <f t="shared" ref="N34:N97" si="3">IF($D$20&gt;=$H$28,($H$28*(100%-J34))+($F$20),$D$20*(100%-J34)+($F$20))</f>
        <v>0.43080000000000057</v>
      </c>
    </row>
    <row r="35" spans="1:23" x14ac:dyDescent="0.2">
      <c r="A35" s="335">
        <v>21655</v>
      </c>
      <c r="B35" s="335">
        <v>23004</v>
      </c>
      <c r="C35" s="1"/>
      <c r="D35" s="336">
        <v>0.96</v>
      </c>
      <c r="E35" s="134"/>
      <c r="F35" s="95">
        <f t="shared" si="0"/>
        <v>0.51679999999999982</v>
      </c>
      <c r="G35" s="94"/>
      <c r="H35" s="95">
        <f t="shared" si="1"/>
        <v>0.43080000000000057</v>
      </c>
      <c r="I35" s="1"/>
      <c r="J35" s="336">
        <v>0.96</v>
      </c>
      <c r="K35" s="135"/>
      <c r="L35" s="97">
        <f t="shared" si="2"/>
        <v>0.51679999999999982</v>
      </c>
      <c r="M35" s="96"/>
      <c r="N35" s="97">
        <f t="shared" si="3"/>
        <v>0.43080000000000057</v>
      </c>
      <c r="R35" s="98"/>
    </row>
    <row r="36" spans="1:23" x14ac:dyDescent="0.2">
      <c r="A36" s="335">
        <v>23005</v>
      </c>
      <c r="B36" s="335">
        <v>24357</v>
      </c>
      <c r="C36" s="1"/>
      <c r="D36" s="336">
        <v>0.96</v>
      </c>
      <c r="E36" s="134"/>
      <c r="F36" s="95">
        <f t="shared" si="0"/>
        <v>0.51679999999999982</v>
      </c>
      <c r="G36" s="94"/>
      <c r="H36" s="95">
        <f t="shared" si="1"/>
        <v>0.43080000000000057</v>
      </c>
      <c r="I36" s="1"/>
      <c r="J36" s="336">
        <v>0.96</v>
      </c>
      <c r="K36" s="135"/>
      <c r="L36" s="97">
        <f t="shared" si="2"/>
        <v>0.51679999999999982</v>
      </c>
      <c r="M36" s="96"/>
      <c r="N36" s="97">
        <f t="shared" si="3"/>
        <v>0.43080000000000057</v>
      </c>
    </row>
    <row r="37" spans="1:23" x14ac:dyDescent="0.2">
      <c r="A37" s="335">
        <v>24358</v>
      </c>
      <c r="B37" s="335">
        <v>25709</v>
      </c>
      <c r="C37" s="1"/>
      <c r="D37" s="336">
        <v>0.96</v>
      </c>
      <c r="E37" s="134"/>
      <c r="F37" s="95">
        <f t="shared" si="0"/>
        <v>0.51679999999999982</v>
      </c>
      <c r="G37" s="94"/>
      <c r="H37" s="95">
        <f t="shared" si="1"/>
        <v>0.43080000000000057</v>
      </c>
      <c r="I37" s="1"/>
      <c r="J37" s="336">
        <v>0.96</v>
      </c>
      <c r="K37" s="135"/>
      <c r="L37" s="97">
        <f t="shared" si="2"/>
        <v>0.51679999999999982</v>
      </c>
      <c r="M37" s="96"/>
      <c r="N37" s="97">
        <f t="shared" si="3"/>
        <v>0.43080000000000057</v>
      </c>
    </row>
    <row r="38" spans="1:23" x14ac:dyDescent="0.2">
      <c r="A38" s="335">
        <v>25710</v>
      </c>
      <c r="B38" s="335">
        <v>27061</v>
      </c>
      <c r="C38" s="1"/>
      <c r="D38" s="336">
        <v>0.95599999999999996</v>
      </c>
      <c r="E38" s="134"/>
      <c r="F38" s="95">
        <f t="shared" si="0"/>
        <v>0.54947999999999975</v>
      </c>
      <c r="G38" s="94"/>
      <c r="H38" s="95">
        <f t="shared" si="1"/>
        <v>0.45888000000000062</v>
      </c>
      <c r="I38" s="1"/>
      <c r="J38" s="336">
        <v>0.95699999999999996</v>
      </c>
      <c r="K38" s="135"/>
      <c r="L38" s="97">
        <f t="shared" si="2"/>
        <v>0.54130999999999974</v>
      </c>
      <c r="M38" s="96"/>
      <c r="N38" s="97">
        <f t="shared" si="3"/>
        <v>0.45186000000000059</v>
      </c>
    </row>
    <row r="39" spans="1:23" x14ac:dyDescent="0.2">
      <c r="A39" s="335">
        <v>27062</v>
      </c>
      <c r="B39" s="335">
        <v>28412</v>
      </c>
      <c r="C39" s="1"/>
      <c r="D39" s="336">
        <v>0.94499999999999995</v>
      </c>
      <c r="E39" s="134"/>
      <c r="F39" s="95">
        <f t="shared" si="0"/>
        <v>0.63934999999999986</v>
      </c>
      <c r="G39" s="94"/>
      <c r="H39" s="95">
        <f t="shared" si="1"/>
        <v>0.53610000000000069</v>
      </c>
      <c r="I39" s="1"/>
      <c r="J39" s="336">
        <v>0.95499999999999996</v>
      </c>
      <c r="K39" s="135"/>
      <c r="L39" s="97">
        <f t="shared" si="2"/>
        <v>0.55764999999999976</v>
      </c>
      <c r="M39" s="96"/>
      <c r="N39" s="97">
        <f t="shared" si="3"/>
        <v>0.46590000000000059</v>
      </c>
    </row>
    <row r="40" spans="1:23" x14ac:dyDescent="0.2">
      <c r="A40" s="335">
        <v>28413</v>
      </c>
      <c r="B40" s="335">
        <v>29760</v>
      </c>
      <c r="C40" s="1"/>
      <c r="D40" s="336">
        <v>0.93500000000000005</v>
      </c>
      <c r="E40" s="134"/>
      <c r="F40" s="95">
        <f t="shared" si="0"/>
        <v>0.72104999999999908</v>
      </c>
      <c r="G40" s="94"/>
      <c r="H40" s="95">
        <f t="shared" si="1"/>
        <v>0.60629999999999995</v>
      </c>
      <c r="I40" s="1"/>
      <c r="J40" s="336">
        <v>0.95299999999999996</v>
      </c>
      <c r="K40" s="135"/>
      <c r="L40" s="97">
        <f t="shared" si="2"/>
        <v>0.57398999999999978</v>
      </c>
      <c r="M40" s="96"/>
      <c r="N40" s="97">
        <f t="shared" si="3"/>
        <v>0.47994000000000064</v>
      </c>
    </row>
    <row r="41" spans="1:23" x14ac:dyDescent="0.2">
      <c r="A41" s="335">
        <v>29761</v>
      </c>
      <c r="B41" s="335">
        <v>31214</v>
      </c>
      <c r="C41" s="1"/>
      <c r="D41" s="336">
        <v>0.92600000000000005</v>
      </c>
      <c r="E41" s="134"/>
      <c r="F41" s="95">
        <f t="shared" si="0"/>
        <v>0.79457999999999918</v>
      </c>
      <c r="G41" s="94"/>
      <c r="H41" s="95">
        <f t="shared" si="1"/>
        <v>0.66947999999999996</v>
      </c>
      <c r="I41" s="1"/>
      <c r="J41" s="336">
        <v>0.95099999999999996</v>
      </c>
      <c r="K41" s="135"/>
      <c r="L41" s="97">
        <f t="shared" si="2"/>
        <v>0.5903299999999998</v>
      </c>
      <c r="M41" s="96"/>
      <c r="N41" s="97">
        <f t="shared" si="3"/>
        <v>0.49398000000000064</v>
      </c>
    </row>
    <row r="42" spans="1:23" x14ac:dyDescent="0.2">
      <c r="A42" s="335">
        <v>31215</v>
      </c>
      <c r="B42" s="335">
        <v>32666</v>
      </c>
      <c r="C42" s="1"/>
      <c r="D42" s="336">
        <v>0.92</v>
      </c>
      <c r="E42" s="134"/>
      <c r="F42" s="95">
        <f t="shared" si="0"/>
        <v>0.84359999999999913</v>
      </c>
      <c r="G42" s="94"/>
      <c r="H42" s="95">
        <f t="shared" si="1"/>
        <v>0.71160000000000001</v>
      </c>
      <c r="I42" s="1"/>
      <c r="J42" s="336">
        <v>0.95</v>
      </c>
      <c r="K42" s="135"/>
      <c r="L42" s="97">
        <f t="shared" si="2"/>
        <v>0.59849999999999981</v>
      </c>
      <c r="M42" s="96"/>
      <c r="N42" s="97">
        <f t="shared" si="3"/>
        <v>0.50100000000000067</v>
      </c>
    </row>
    <row r="43" spans="1:23" x14ac:dyDescent="0.2">
      <c r="A43" s="335">
        <v>32668</v>
      </c>
      <c r="B43" s="335">
        <v>34122</v>
      </c>
      <c r="C43" s="1"/>
      <c r="D43" s="336">
        <v>0.91</v>
      </c>
      <c r="E43" s="134"/>
      <c r="F43" s="95">
        <f t="shared" si="0"/>
        <v>0.92529999999999923</v>
      </c>
      <c r="G43" s="94"/>
      <c r="H43" s="95">
        <f t="shared" si="1"/>
        <v>0.78180000000000005</v>
      </c>
      <c r="I43" s="1"/>
      <c r="J43" s="336">
        <v>0.94799999999999995</v>
      </c>
      <c r="K43" s="135"/>
      <c r="L43" s="97">
        <f t="shared" si="2"/>
        <v>0.61483999999999983</v>
      </c>
      <c r="M43" s="96"/>
      <c r="N43" s="97">
        <f t="shared" si="3"/>
        <v>0.51504000000000061</v>
      </c>
    </row>
    <row r="44" spans="1:23" x14ac:dyDescent="0.2">
      <c r="A44" s="335">
        <v>34123</v>
      </c>
      <c r="B44" s="335">
        <v>35574</v>
      </c>
      <c r="C44" s="1"/>
      <c r="D44" s="336">
        <v>0.90500000000000003</v>
      </c>
      <c r="E44" s="134"/>
      <c r="F44" s="95">
        <f t="shared" si="0"/>
        <v>0.96614999999999929</v>
      </c>
      <c r="G44" s="94"/>
      <c r="H44" s="95">
        <f t="shared" si="1"/>
        <v>0.81690000000000018</v>
      </c>
      <c r="I44" s="1"/>
      <c r="J44" s="336">
        <v>0.94599999999999995</v>
      </c>
      <c r="K44" s="135"/>
      <c r="L44" s="97">
        <f t="shared" si="2"/>
        <v>0.63117999999999985</v>
      </c>
      <c r="M44" s="96"/>
      <c r="N44" s="97">
        <f t="shared" si="3"/>
        <v>0.52908000000000066</v>
      </c>
    </row>
    <row r="45" spans="1:23" x14ac:dyDescent="0.2">
      <c r="A45" s="335">
        <v>35575</v>
      </c>
      <c r="B45" s="335">
        <v>37031</v>
      </c>
      <c r="C45" s="1"/>
      <c r="D45" s="336">
        <v>0.89700000000000002</v>
      </c>
      <c r="E45" s="134"/>
      <c r="F45" s="95">
        <f t="shared" si="0"/>
        <v>1.0315099999999995</v>
      </c>
      <c r="G45" s="94"/>
      <c r="H45" s="95">
        <f t="shared" si="1"/>
        <v>0.87306000000000017</v>
      </c>
      <c r="I45" s="1"/>
      <c r="J45" s="336">
        <v>0.94599999999999995</v>
      </c>
      <c r="K45" s="135"/>
      <c r="L45" s="97">
        <f t="shared" si="2"/>
        <v>0.63117999999999985</v>
      </c>
      <c r="M45" s="96"/>
      <c r="N45" s="97">
        <f t="shared" si="3"/>
        <v>0.52908000000000066</v>
      </c>
    </row>
    <row r="46" spans="1:23" x14ac:dyDescent="0.2">
      <c r="A46" s="335">
        <v>37032</v>
      </c>
      <c r="B46" s="335">
        <v>38484</v>
      </c>
      <c r="C46" s="1"/>
      <c r="D46" s="336">
        <v>0.88900000000000001</v>
      </c>
      <c r="E46" s="134"/>
      <c r="F46" s="95">
        <f t="shared" si="0"/>
        <v>1.0968699999999993</v>
      </c>
      <c r="G46" s="94"/>
      <c r="H46" s="95">
        <f t="shared" si="1"/>
        <v>0.92922000000000027</v>
      </c>
      <c r="I46" s="1"/>
      <c r="J46" s="336">
        <v>0.94599999999999995</v>
      </c>
      <c r="K46" s="135"/>
      <c r="L46" s="97">
        <f t="shared" si="2"/>
        <v>0.63117999999999985</v>
      </c>
      <c r="M46" s="96"/>
      <c r="N46" s="97">
        <f t="shared" si="3"/>
        <v>0.52908000000000066</v>
      </c>
      <c r="V46" s="99"/>
      <c r="W46" s="259"/>
    </row>
    <row r="47" spans="1:23" x14ac:dyDescent="0.2">
      <c r="A47" s="335">
        <v>38485</v>
      </c>
      <c r="B47" s="335">
        <v>39972</v>
      </c>
      <c r="C47" s="1"/>
      <c r="D47" s="336">
        <v>0.88300000000000001</v>
      </c>
      <c r="E47" s="134"/>
      <c r="F47" s="95">
        <f t="shared" si="0"/>
        <v>1.1458899999999994</v>
      </c>
      <c r="G47" s="94"/>
      <c r="H47" s="95">
        <f t="shared" si="1"/>
        <v>0.9713400000000002</v>
      </c>
      <c r="I47" s="1"/>
      <c r="J47" s="336">
        <v>0.94599999999999995</v>
      </c>
      <c r="K47" s="135"/>
      <c r="L47" s="97">
        <f t="shared" si="2"/>
        <v>0.63117999999999985</v>
      </c>
      <c r="M47" s="96"/>
      <c r="N47" s="97">
        <f t="shared" si="3"/>
        <v>0.52908000000000066</v>
      </c>
      <c r="V47" s="99"/>
    </row>
    <row r="48" spans="1:23" x14ac:dyDescent="0.2">
      <c r="A48" s="335">
        <v>39973</v>
      </c>
      <c r="B48" s="335">
        <v>41463</v>
      </c>
      <c r="C48" s="1"/>
      <c r="D48" s="336">
        <v>0.875</v>
      </c>
      <c r="E48" s="134"/>
      <c r="F48" s="95">
        <f t="shared" si="0"/>
        <v>1.2112499999999995</v>
      </c>
      <c r="G48" s="94"/>
      <c r="H48" s="95">
        <f t="shared" si="1"/>
        <v>1.0275000000000003</v>
      </c>
      <c r="I48" s="1"/>
      <c r="J48" s="336">
        <v>0.94599999999999995</v>
      </c>
      <c r="K48" s="135"/>
      <c r="L48" s="97">
        <f t="shared" si="2"/>
        <v>0.63117999999999985</v>
      </c>
      <c r="M48" s="96"/>
      <c r="N48" s="97">
        <f t="shared" si="3"/>
        <v>0.52908000000000066</v>
      </c>
      <c r="V48" s="99"/>
    </row>
    <row r="49" spans="1:14" x14ac:dyDescent="0.2">
      <c r="A49" s="335">
        <v>41464</v>
      </c>
      <c r="B49" s="335">
        <v>42953</v>
      </c>
      <c r="C49" s="1"/>
      <c r="D49" s="336">
        <v>0.86799999999999999</v>
      </c>
      <c r="E49" s="134"/>
      <c r="F49" s="95">
        <f t="shared" si="0"/>
        <v>1.2684399999999996</v>
      </c>
      <c r="G49" s="94"/>
      <c r="H49" s="95">
        <f t="shared" si="1"/>
        <v>1.0766400000000003</v>
      </c>
      <c r="I49" s="1"/>
      <c r="J49" s="336">
        <v>0.94599999999999995</v>
      </c>
      <c r="K49" s="135"/>
      <c r="L49" s="97">
        <f t="shared" si="2"/>
        <v>0.63117999999999985</v>
      </c>
      <c r="M49" s="96"/>
      <c r="N49" s="97">
        <f t="shared" si="3"/>
        <v>0.52908000000000066</v>
      </c>
    </row>
    <row r="50" spans="1:14" x14ac:dyDescent="0.2">
      <c r="A50" s="335">
        <v>42954</v>
      </c>
      <c r="B50" s="335">
        <v>44443</v>
      </c>
      <c r="C50" s="1"/>
      <c r="D50" s="336">
        <v>0.86099999999999999</v>
      </c>
      <c r="E50" s="134"/>
      <c r="F50" s="95">
        <f t="shared" si="0"/>
        <v>1.3256299999999996</v>
      </c>
      <c r="G50" s="94"/>
      <c r="H50" s="95">
        <f t="shared" si="1"/>
        <v>1.1257800000000002</v>
      </c>
      <c r="I50" s="1"/>
      <c r="J50" s="336">
        <v>0.94599999999999995</v>
      </c>
      <c r="K50" s="135"/>
      <c r="L50" s="97">
        <f t="shared" si="2"/>
        <v>0.63117999999999985</v>
      </c>
      <c r="M50" s="96"/>
      <c r="N50" s="97">
        <f t="shared" si="3"/>
        <v>0.52908000000000066</v>
      </c>
    </row>
    <row r="51" spans="1:14" x14ac:dyDescent="0.2">
      <c r="A51" s="335">
        <v>44444</v>
      </c>
      <c r="B51" s="335">
        <v>45936</v>
      </c>
      <c r="C51" s="1"/>
      <c r="D51" s="336">
        <v>0.85199999999999998</v>
      </c>
      <c r="E51" s="134"/>
      <c r="F51" s="95">
        <f t="shared" si="0"/>
        <v>1.3991599999999997</v>
      </c>
      <c r="G51" s="94"/>
      <c r="H51" s="95">
        <f t="shared" si="1"/>
        <v>1.1889600000000005</v>
      </c>
      <c r="I51" s="1"/>
      <c r="J51" s="336">
        <v>0.94599999999999995</v>
      </c>
      <c r="K51" s="135"/>
      <c r="L51" s="97">
        <f t="shared" si="2"/>
        <v>0.63117999999999985</v>
      </c>
      <c r="M51" s="96"/>
      <c r="N51" s="97">
        <f t="shared" si="3"/>
        <v>0.52908000000000066</v>
      </c>
    </row>
    <row r="52" spans="1:14" x14ac:dyDescent="0.2">
      <c r="A52" s="335">
        <v>45937</v>
      </c>
      <c r="B52" s="335">
        <v>47427</v>
      </c>
      <c r="C52" s="1"/>
      <c r="D52" s="336">
        <v>0.84699999999999998</v>
      </c>
      <c r="E52" s="134"/>
      <c r="F52" s="95">
        <f t="shared" si="0"/>
        <v>1.4400099999999998</v>
      </c>
      <c r="G52" s="94"/>
      <c r="H52" s="95">
        <f t="shared" si="1"/>
        <v>1.2240600000000004</v>
      </c>
      <c r="I52" s="1"/>
      <c r="J52" s="336">
        <v>0.94599999999999995</v>
      </c>
      <c r="K52" s="135"/>
      <c r="L52" s="97">
        <f t="shared" si="2"/>
        <v>0.63117999999999985</v>
      </c>
      <c r="M52" s="96"/>
      <c r="N52" s="97">
        <f t="shared" si="3"/>
        <v>0.52908000000000066</v>
      </c>
    </row>
    <row r="53" spans="1:14" x14ac:dyDescent="0.2">
      <c r="A53" s="335">
        <v>47428</v>
      </c>
      <c r="B53" s="335">
        <v>48916</v>
      </c>
      <c r="C53" s="1"/>
      <c r="D53" s="336">
        <v>0.83899999999999997</v>
      </c>
      <c r="E53" s="134"/>
      <c r="F53" s="95">
        <f t="shared" si="0"/>
        <v>1.5053699999999997</v>
      </c>
      <c r="G53" s="94"/>
      <c r="H53" s="95">
        <f t="shared" si="1"/>
        <v>1.2802200000000006</v>
      </c>
      <c r="I53" s="1"/>
      <c r="J53" s="336">
        <v>0.94599999999999995</v>
      </c>
      <c r="K53" s="135"/>
      <c r="L53" s="97">
        <f t="shared" si="2"/>
        <v>0.63117999999999985</v>
      </c>
      <c r="M53" s="96"/>
      <c r="N53" s="97">
        <f t="shared" si="3"/>
        <v>0.52908000000000066</v>
      </c>
    </row>
    <row r="54" spans="1:14" x14ac:dyDescent="0.2">
      <c r="A54" s="335">
        <v>48917</v>
      </c>
      <c r="B54" s="335">
        <v>50407</v>
      </c>
      <c r="C54" s="1"/>
      <c r="D54" s="336">
        <v>0.83299999999999996</v>
      </c>
      <c r="E54" s="134"/>
      <c r="F54" s="95">
        <f t="shared" si="0"/>
        <v>1.5543899999999997</v>
      </c>
      <c r="G54" s="94"/>
      <c r="H54" s="95">
        <f t="shared" si="1"/>
        <v>1.3223400000000005</v>
      </c>
      <c r="I54" s="1"/>
      <c r="J54" s="336">
        <v>0.94599999999999995</v>
      </c>
      <c r="K54" s="135"/>
      <c r="L54" s="97">
        <f t="shared" si="2"/>
        <v>0.63117999999999985</v>
      </c>
      <c r="M54" s="96"/>
      <c r="N54" s="97">
        <f t="shared" si="3"/>
        <v>0.52908000000000066</v>
      </c>
    </row>
    <row r="55" spans="1:14" x14ac:dyDescent="0.2">
      <c r="A55" s="335">
        <v>50408</v>
      </c>
      <c r="B55" s="335">
        <v>52036</v>
      </c>
      <c r="C55" s="1"/>
      <c r="D55" s="336">
        <v>0.82399999999999995</v>
      </c>
      <c r="E55" s="134"/>
      <c r="F55" s="95">
        <f t="shared" si="0"/>
        <v>1.6279199999999998</v>
      </c>
      <c r="G55" s="94"/>
      <c r="H55" s="95">
        <f t="shared" si="1"/>
        <v>1.3855200000000005</v>
      </c>
      <c r="I55" s="1"/>
      <c r="J55" s="336">
        <v>0.94599999999999995</v>
      </c>
      <c r="K55" s="135"/>
      <c r="L55" s="97">
        <f t="shared" si="2"/>
        <v>0.63117999999999985</v>
      </c>
      <c r="M55" s="96"/>
      <c r="N55" s="97">
        <f t="shared" si="3"/>
        <v>0.52908000000000066</v>
      </c>
    </row>
    <row r="56" spans="1:14" x14ac:dyDescent="0.2">
      <c r="A56" s="335">
        <v>52037</v>
      </c>
      <c r="B56" s="335">
        <v>55230</v>
      </c>
      <c r="C56" s="1"/>
      <c r="D56" s="336">
        <v>0.80900000000000005</v>
      </c>
      <c r="E56" s="134"/>
      <c r="F56" s="95">
        <f t="shared" si="0"/>
        <v>1.7504699999999991</v>
      </c>
      <c r="G56" s="94"/>
      <c r="H56" s="95">
        <f t="shared" si="1"/>
        <v>1.4908199999999998</v>
      </c>
      <c r="I56" s="1"/>
      <c r="J56" s="336">
        <v>0.94599999999999995</v>
      </c>
      <c r="K56" s="135"/>
      <c r="L56" s="97">
        <f t="shared" si="2"/>
        <v>0.63117999999999985</v>
      </c>
      <c r="M56" s="96"/>
      <c r="N56" s="97">
        <f t="shared" si="3"/>
        <v>0.52908000000000066</v>
      </c>
    </row>
    <row r="57" spans="1:14" x14ac:dyDescent="0.2">
      <c r="A57" s="335">
        <v>55231</v>
      </c>
      <c r="B57" s="335">
        <v>58423</v>
      </c>
      <c r="C57" s="1"/>
      <c r="D57" s="336">
        <v>0.80100000000000005</v>
      </c>
      <c r="E57" s="134"/>
      <c r="F57" s="95">
        <f t="shared" si="0"/>
        <v>1.8158299999999992</v>
      </c>
      <c r="G57" s="94"/>
      <c r="H57" s="95">
        <f t="shared" si="1"/>
        <v>1.54698</v>
      </c>
      <c r="I57" s="1"/>
      <c r="J57" s="336">
        <v>0.94199999999999995</v>
      </c>
      <c r="K57" s="135"/>
      <c r="L57" s="97">
        <f t="shared" si="2"/>
        <v>0.66385999999999989</v>
      </c>
      <c r="M57" s="96"/>
      <c r="N57" s="97">
        <f t="shared" si="3"/>
        <v>0.55716000000000077</v>
      </c>
    </row>
    <row r="58" spans="1:14" x14ac:dyDescent="0.2">
      <c r="A58" s="335">
        <v>58424</v>
      </c>
      <c r="B58" s="335">
        <v>61618</v>
      </c>
      <c r="C58" s="1"/>
      <c r="D58" s="336">
        <v>0.79</v>
      </c>
      <c r="E58" s="134"/>
      <c r="F58" s="95">
        <f t="shared" si="0"/>
        <v>1.9056999999999993</v>
      </c>
      <c r="G58" s="94"/>
      <c r="H58" s="95">
        <f t="shared" si="1"/>
        <v>1.6242000000000001</v>
      </c>
      <c r="I58" s="1"/>
      <c r="J58" s="336">
        <v>0.93600000000000005</v>
      </c>
      <c r="K58" s="135"/>
      <c r="L58" s="97">
        <f t="shared" si="2"/>
        <v>0.71287999999999907</v>
      </c>
      <c r="M58" s="96"/>
      <c r="N58" s="97">
        <f t="shared" si="3"/>
        <v>0.59927999999999992</v>
      </c>
    </row>
    <row r="59" spans="1:14" x14ac:dyDescent="0.2">
      <c r="A59" s="335">
        <v>61619</v>
      </c>
      <c r="B59" s="335">
        <v>64813</v>
      </c>
      <c r="C59" s="1"/>
      <c r="D59" s="336">
        <v>0.76800000000000002</v>
      </c>
      <c r="E59" s="134"/>
      <c r="F59" s="95">
        <f t="shared" si="0"/>
        <v>2.0854399999999993</v>
      </c>
      <c r="G59" s="94"/>
      <c r="H59" s="95">
        <f t="shared" si="1"/>
        <v>1.7786400000000002</v>
      </c>
      <c r="I59" s="1"/>
      <c r="J59" s="336">
        <v>0.93200000000000005</v>
      </c>
      <c r="K59" s="135"/>
      <c r="L59" s="97">
        <f t="shared" si="2"/>
        <v>0.74555999999999911</v>
      </c>
      <c r="M59" s="96"/>
      <c r="N59" s="97">
        <f t="shared" si="3"/>
        <v>0.62735999999999992</v>
      </c>
    </row>
    <row r="60" spans="1:14" x14ac:dyDescent="0.2">
      <c r="A60" s="335">
        <v>64814</v>
      </c>
      <c r="B60" s="335">
        <v>68006</v>
      </c>
      <c r="C60" s="1"/>
      <c r="D60" s="336">
        <v>0.745</v>
      </c>
      <c r="E60" s="134"/>
      <c r="F60" s="95">
        <f t="shared" si="0"/>
        <v>2.2733499999999993</v>
      </c>
      <c r="G60" s="94"/>
      <c r="H60" s="95">
        <f t="shared" si="1"/>
        <v>1.9401000000000004</v>
      </c>
      <c r="I60" s="1"/>
      <c r="J60" s="336">
        <v>0.92900000000000005</v>
      </c>
      <c r="K60" s="135"/>
      <c r="L60" s="97">
        <f t="shared" si="2"/>
        <v>0.77006999999999914</v>
      </c>
      <c r="M60" s="96"/>
      <c r="N60" s="97">
        <f t="shared" si="3"/>
        <v>0.64842</v>
      </c>
    </row>
    <row r="61" spans="1:14" x14ac:dyDescent="0.2">
      <c r="A61" s="335">
        <v>68007</v>
      </c>
      <c r="B61" s="335">
        <v>71202</v>
      </c>
      <c r="C61" s="1"/>
      <c r="D61" s="336">
        <v>0.72299999999999998</v>
      </c>
      <c r="E61" s="134"/>
      <c r="F61" s="95">
        <f t="shared" si="0"/>
        <v>2.4530899999999995</v>
      </c>
      <c r="G61" s="94"/>
      <c r="H61" s="95">
        <f t="shared" si="1"/>
        <v>2.0945400000000003</v>
      </c>
      <c r="I61" s="1"/>
      <c r="J61" s="336">
        <v>0.92200000000000004</v>
      </c>
      <c r="K61" s="135"/>
      <c r="L61" s="97">
        <f t="shared" si="2"/>
        <v>0.82725999999999911</v>
      </c>
      <c r="M61" s="96"/>
      <c r="N61" s="97">
        <f t="shared" si="3"/>
        <v>0.69756000000000007</v>
      </c>
    </row>
    <row r="62" spans="1:14" x14ac:dyDescent="0.2">
      <c r="A62" s="335">
        <v>71203</v>
      </c>
      <c r="B62" s="335">
        <v>74396</v>
      </c>
      <c r="C62" s="1"/>
      <c r="D62" s="336">
        <v>0.69899999999999995</v>
      </c>
      <c r="E62" s="134"/>
      <c r="F62" s="95">
        <f t="shared" si="0"/>
        <v>2.6491699999999998</v>
      </c>
      <c r="G62" s="94"/>
      <c r="H62" s="95">
        <f t="shared" si="1"/>
        <v>2.2630200000000005</v>
      </c>
      <c r="I62" s="1"/>
      <c r="J62" s="336">
        <v>0.91700000000000004</v>
      </c>
      <c r="K62" s="135"/>
      <c r="L62" s="97">
        <f t="shared" si="2"/>
        <v>0.86810999999999916</v>
      </c>
      <c r="M62" s="96"/>
      <c r="N62" s="97">
        <f t="shared" si="3"/>
        <v>0.73266000000000009</v>
      </c>
    </row>
    <row r="63" spans="1:14" x14ac:dyDescent="0.2">
      <c r="A63" s="335">
        <v>74397</v>
      </c>
      <c r="B63" s="335">
        <v>77590</v>
      </c>
      <c r="C63" s="1"/>
      <c r="D63" s="336">
        <v>0.67600000000000005</v>
      </c>
      <c r="E63" s="134"/>
      <c r="F63" s="95">
        <f t="shared" si="0"/>
        <v>2.8370799999999989</v>
      </c>
      <c r="G63" s="94"/>
      <c r="H63" s="95">
        <f t="shared" si="1"/>
        <v>2.42448</v>
      </c>
      <c r="I63" s="1"/>
      <c r="J63" s="336">
        <v>0.91200000000000003</v>
      </c>
      <c r="K63" s="135"/>
      <c r="L63" s="97">
        <f t="shared" si="2"/>
        <v>0.90895999999999921</v>
      </c>
      <c r="M63" s="96"/>
      <c r="N63" s="97">
        <f t="shared" si="3"/>
        <v>0.76776000000000011</v>
      </c>
    </row>
    <row r="64" spans="1:14" x14ac:dyDescent="0.2">
      <c r="A64" s="335">
        <v>77591</v>
      </c>
      <c r="B64" s="335">
        <v>80786</v>
      </c>
      <c r="C64" s="1"/>
      <c r="D64" s="336">
        <v>0.65400000000000003</v>
      </c>
      <c r="E64" s="134"/>
      <c r="F64" s="95">
        <f t="shared" si="0"/>
        <v>3.0168199999999992</v>
      </c>
      <c r="G64" s="94"/>
      <c r="H64" s="95">
        <f t="shared" si="1"/>
        <v>2.5789200000000001</v>
      </c>
      <c r="I64" s="1"/>
      <c r="J64" s="336">
        <v>0.90500000000000003</v>
      </c>
      <c r="K64" s="135"/>
      <c r="L64" s="97">
        <f t="shared" si="2"/>
        <v>0.96614999999999929</v>
      </c>
      <c r="M64" s="96"/>
      <c r="N64" s="97">
        <f t="shared" si="3"/>
        <v>0.81690000000000018</v>
      </c>
    </row>
    <row r="65" spans="1:15" x14ac:dyDescent="0.2">
      <c r="A65" s="335">
        <v>80787</v>
      </c>
      <c r="B65" s="335">
        <v>83979</v>
      </c>
      <c r="C65" s="1"/>
      <c r="D65" s="336">
        <v>0.63100000000000001</v>
      </c>
      <c r="E65" s="134"/>
      <c r="F65" s="95">
        <f t="shared" si="0"/>
        <v>3.2047299999999996</v>
      </c>
      <c r="G65" s="94"/>
      <c r="H65" s="95">
        <f t="shared" si="1"/>
        <v>2.74038</v>
      </c>
      <c r="I65" s="1"/>
      <c r="J65" s="336">
        <v>0.9</v>
      </c>
      <c r="K65" s="135"/>
      <c r="L65" s="97">
        <f t="shared" si="2"/>
        <v>1.0069999999999992</v>
      </c>
      <c r="M65" s="96"/>
      <c r="N65" s="97">
        <f t="shared" si="3"/>
        <v>0.8520000000000002</v>
      </c>
    </row>
    <row r="66" spans="1:15" x14ac:dyDescent="0.2">
      <c r="A66" s="335">
        <v>83980</v>
      </c>
      <c r="B66" s="335">
        <v>87176</v>
      </c>
      <c r="C66" s="1"/>
      <c r="D66" s="336">
        <v>0.60899999999999999</v>
      </c>
      <c r="E66" s="134"/>
      <c r="F66" s="95">
        <f t="shared" si="0"/>
        <v>3.3844699999999994</v>
      </c>
      <c r="G66" s="94"/>
      <c r="H66" s="95">
        <f t="shared" si="1"/>
        <v>2.8948200000000002</v>
      </c>
      <c r="I66" s="1"/>
      <c r="J66" s="336">
        <v>0.89600000000000002</v>
      </c>
      <c r="K66" s="135"/>
      <c r="L66" s="97">
        <f t="shared" si="2"/>
        <v>1.0396799999999993</v>
      </c>
      <c r="M66" s="96"/>
      <c r="N66" s="97">
        <f t="shared" si="3"/>
        <v>0.8800800000000002</v>
      </c>
    </row>
    <row r="67" spans="1:15" x14ac:dyDescent="0.2">
      <c r="A67" s="335">
        <v>87177</v>
      </c>
      <c r="B67" s="335">
        <v>90370</v>
      </c>
      <c r="C67" s="1"/>
      <c r="D67" s="336">
        <v>0.58399999999999996</v>
      </c>
      <c r="E67" s="134"/>
      <c r="F67" s="95">
        <f t="shared" si="0"/>
        <v>3.5887199999999999</v>
      </c>
      <c r="G67" s="94"/>
      <c r="H67" s="95">
        <f t="shared" si="1"/>
        <v>3.0703200000000006</v>
      </c>
      <c r="I67" s="1"/>
      <c r="J67" s="336">
        <v>0.89300000000000002</v>
      </c>
      <c r="K67" s="135"/>
      <c r="L67" s="97">
        <f t="shared" si="2"/>
        <v>1.0641899999999995</v>
      </c>
      <c r="M67" s="96"/>
      <c r="N67" s="97">
        <f t="shared" si="3"/>
        <v>0.90114000000000016</v>
      </c>
    </row>
    <row r="68" spans="1:15" x14ac:dyDescent="0.2">
      <c r="A68" s="335">
        <v>90371</v>
      </c>
      <c r="B68" s="335">
        <v>93562</v>
      </c>
      <c r="C68" s="1"/>
      <c r="D68" s="336">
        <v>0.56200000000000006</v>
      </c>
      <c r="E68" s="134"/>
      <c r="F68" s="95">
        <f t="shared" si="0"/>
        <v>3.7684599999999988</v>
      </c>
      <c r="G68" s="94"/>
      <c r="H68" s="95">
        <f t="shared" si="1"/>
        <v>3.2247599999999998</v>
      </c>
      <c r="I68" s="1"/>
      <c r="J68" s="336">
        <v>0.88600000000000001</v>
      </c>
      <c r="K68" s="135"/>
      <c r="L68" s="97">
        <f t="shared" si="2"/>
        <v>1.1213799999999994</v>
      </c>
      <c r="M68" s="96"/>
      <c r="N68" s="97">
        <f t="shared" si="3"/>
        <v>0.95028000000000024</v>
      </c>
    </row>
    <row r="69" spans="1:15" x14ac:dyDescent="0.2">
      <c r="A69" s="335">
        <v>93563</v>
      </c>
      <c r="B69" s="335">
        <v>96757</v>
      </c>
      <c r="C69" s="1"/>
      <c r="D69" s="336">
        <v>0.54</v>
      </c>
      <c r="E69" s="134"/>
      <c r="F69" s="95">
        <f t="shared" si="0"/>
        <v>3.948199999999999</v>
      </c>
      <c r="G69" s="94"/>
      <c r="H69" s="95">
        <f t="shared" si="1"/>
        <v>3.3792</v>
      </c>
      <c r="I69" s="1"/>
      <c r="J69" s="336">
        <v>0.88200000000000001</v>
      </c>
      <c r="K69" s="135"/>
      <c r="L69" s="97">
        <f t="shared" si="2"/>
        <v>1.1540599999999994</v>
      </c>
      <c r="M69" s="96"/>
      <c r="N69" s="97">
        <f t="shared" si="3"/>
        <v>0.97836000000000023</v>
      </c>
    </row>
    <row r="70" spans="1:15" x14ac:dyDescent="0.2">
      <c r="A70" s="335">
        <v>96758</v>
      </c>
      <c r="B70" s="335">
        <v>100015</v>
      </c>
      <c r="C70" s="1"/>
      <c r="D70" s="336">
        <v>0.51600000000000001</v>
      </c>
      <c r="E70" s="134"/>
      <c r="F70" s="95">
        <f t="shared" si="0"/>
        <v>4.1442799999999993</v>
      </c>
      <c r="G70" s="94"/>
      <c r="H70" s="95">
        <f t="shared" si="1"/>
        <v>3.5476800000000002</v>
      </c>
      <c r="I70" s="1"/>
      <c r="J70" s="336">
        <v>0.877</v>
      </c>
      <c r="K70" s="135"/>
      <c r="L70" s="97">
        <f t="shared" si="2"/>
        <v>1.1949099999999995</v>
      </c>
      <c r="M70" s="96"/>
      <c r="N70" s="97">
        <f t="shared" si="3"/>
        <v>1.0134600000000002</v>
      </c>
    </row>
    <row r="71" spans="1:15" x14ac:dyDescent="0.2">
      <c r="A71" s="335">
        <v>100016</v>
      </c>
      <c r="B71" s="335">
        <v>103287</v>
      </c>
      <c r="C71" s="1"/>
      <c r="D71" s="336">
        <v>0.496</v>
      </c>
      <c r="E71" s="134"/>
      <c r="F71" s="95">
        <f t="shared" si="0"/>
        <v>4.3076799999999995</v>
      </c>
      <c r="G71" s="94"/>
      <c r="H71" s="95">
        <f t="shared" si="1"/>
        <v>3.6880800000000002</v>
      </c>
      <c r="I71" s="1"/>
      <c r="J71" s="336">
        <v>0.87</v>
      </c>
      <c r="K71" s="135"/>
      <c r="L71" s="97">
        <f t="shared" si="2"/>
        <v>1.2520999999999995</v>
      </c>
      <c r="M71" s="96"/>
      <c r="N71" s="97">
        <f t="shared" si="3"/>
        <v>1.0626000000000002</v>
      </c>
    </row>
    <row r="72" spans="1:15" x14ac:dyDescent="0.2">
      <c r="A72" s="335">
        <v>103288</v>
      </c>
      <c r="B72" s="335">
        <v>106558</v>
      </c>
      <c r="C72" s="1"/>
      <c r="D72" s="336">
        <v>0.47499999999999998</v>
      </c>
      <c r="E72" s="134"/>
      <c r="F72" s="95">
        <f t="shared" si="0"/>
        <v>4.4792499999999995</v>
      </c>
      <c r="G72" s="94"/>
      <c r="H72" s="95">
        <f t="shared" si="1"/>
        <v>3.8355000000000001</v>
      </c>
      <c r="I72" s="1"/>
      <c r="J72" s="336">
        <v>0.86499999999999999</v>
      </c>
      <c r="K72" s="135"/>
      <c r="L72" s="97">
        <f t="shared" si="2"/>
        <v>1.2929499999999996</v>
      </c>
      <c r="M72" s="96"/>
      <c r="N72" s="97">
        <f t="shared" si="3"/>
        <v>1.0977000000000003</v>
      </c>
    </row>
    <row r="73" spans="1:15" x14ac:dyDescent="0.2">
      <c r="A73" s="335">
        <v>106559</v>
      </c>
      <c r="B73" s="335">
        <v>109829</v>
      </c>
      <c r="C73" s="1"/>
      <c r="D73" s="336">
        <v>0.45400000000000001</v>
      </c>
      <c r="E73" s="134"/>
      <c r="F73" s="95">
        <f t="shared" si="0"/>
        <v>4.6508199999999995</v>
      </c>
      <c r="G73" s="94"/>
      <c r="H73" s="95">
        <f t="shared" si="1"/>
        <v>3.9829200000000005</v>
      </c>
      <c r="I73" s="1"/>
      <c r="J73" s="336">
        <v>0.86099999999999999</v>
      </c>
      <c r="K73" s="135"/>
      <c r="L73" s="97">
        <f t="shared" si="2"/>
        <v>1.3256299999999996</v>
      </c>
      <c r="M73" s="96"/>
      <c r="N73" s="97">
        <f t="shared" si="3"/>
        <v>1.1257800000000002</v>
      </c>
    </row>
    <row r="74" spans="1:15" x14ac:dyDescent="0.2">
      <c r="A74" s="335">
        <v>109830</v>
      </c>
      <c r="B74" s="335">
        <v>113099</v>
      </c>
      <c r="C74" s="1"/>
      <c r="D74" s="336">
        <v>0.433</v>
      </c>
      <c r="E74" s="134"/>
      <c r="F74" s="95">
        <f t="shared" si="0"/>
        <v>4.8223899999999986</v>
      </c>
      <c r="G74" s="94"/>
      <c r="H74" s="95">
        <f t="shared" si="1"/>
        <v>4.1303400000000003</v>
      </c>
      <c r="I74" s="1"/>
      <c r="J74" s="336">
        <v>0.85799999999999998</v>
      </c>
      <c r="K74" s="135"/>
      <c r="L74" s="97">
        <f t="shared" si="2"/>
        <v>1.3501399999999997</v>
      </c>
      <c r="M74" s="96"/>
      <c r="N74" s="97">
        <f t="shared" si="3"/>
        <v>1.1468400000000005</v>
      </c>
    </row>
    <row r="75" spans="1:15" x14ac:dyDescent="0.2">
      <c r="A75" s="335">
        <v>113100</v>
      </c>
      <c r="B75" s="335">
        <v>116371</v>
      </c>
      <c r="C75" s="1"/>
      <c r="D75" s="336">
        <v>0.41399999999999998</v>
      </c>
      <c r="E75" s="134"/>
      <c r="F75" s="95">
        <f t="shared" si="0"/>
        <v>4.9776199999999999</v>
      </c>
      <c r="G75" s="94"/>
      <c r="H75" s="95">
        <f t="shared" si="1"/>
        <v>4.2637200000000011</v>
      </c>
      <c r="I75" s="1"/>
      <c r="J75" s="336">
        <v>0.85099999999999998</v>
      </c>
      <c r="K75" s="135"/>
      <c r="L75" s="97">
        <f t="shared" si="2"/>
        <v>1.4073299999999997</v>
      </c>
      <c r="M75" s="96"/>
      <c r="N75" s="97">
        <f t="shared" si="3"/>
        <v>1.1959800000000005</v>
      </c>
    </row>
    <row r="76" spans="1:15" x14ac:dyDescent="0.2">
      <c r="A76" s="335">
        <v>116372</v>
      </c>
      <c r="B76" s="335">
        <v>119644</v>
      </c>
      <c r="C76" s="1"/>
      <c r="D76" s="336">
        <v>0.39500000000000002</v>
      </c>
      <c r="E76" s="134"/>
      <c r="F76" s="95">
        <f t="shared" si="0"/>
        <v>5.1328499999999995</v>
      </c>
      <c r="G76" s="94"/>
      <c r="H76" s="95">
        <f t="shared" si="1"/>
        <v>4.3971</v>
      </c>
      <c r="I76" s="1"/>
      <c r="J76" s="336">
        <v>0.84499999999999997</v>
      </c>
      <c r="K76" s="135"/>
      <c r="L76" s="97">
        <f t="shared" si="2"/>
        <v>1.4563499999999998</v>
      </c>
      <c r="M76" s="96"/>
      <c r="N76" s="97">
        <f t="shared" si="3"/>
        <v>1.2381000000000004</v>
      </c>
    </row>
    <row r="77" spans="1:15" x14ac:dyDescent="0.2">
      <c r="A77" s="335">
        <v>119645</v>
      </c>
      <c r="B77" s="335">
        <v>122916</v>
      </c>
      <c r="C77" s="1"/>
      <c r="D77" s="336">
        <v>0.376</v>
      </c>
      <c r="E77" s="134"/>
      <c r="F77" s="95">
        <f t="shared" si="0"/>
        <v>5.2880799999999999</v>
      </c>
      <c r="G77" s="94"/>
      <c r="H77" s="95">
        <f t="shared" si="1"/>
        <v>4.5304799999999998</v>
      </c>
      <c r="I77" s="1"/>
      <c r="J77" s="336">
        <v>0.84099999999999997</v>
      </c>
      <c r="K77" s="135"/>
      <c r="L77" s="97">
        <f t="shared" si="2"/>
        <v>1.4890299999999996</v>
      </c>
      <c r="M77" s="96"/>
      <c r="N77" s="97">
        <f t="shared" si="3"/>
        <v>1.2661800000000005</v>
      </c>
    </row>
    <row r="78" spans="1:15" x14ac:dyDescent="0.2">
      <c r="A78" s="335">
        <v>122917</v>
      </c>
      <c r="B78" s="335">
        <v>126184</v>
      </c>
      <c r="C78" s="1"/>
      <c r="D78" s="336">
        <v>0.35699999999999998</v>
      </c>
      <c r="E78" s="134"/>
      <c r="F78" s="95">
        <f t="shared" si="0"/>
        <v>5.4433099999999994</v>
      </c>
      <c r="G78" s="94"/>
      <c r="H78" s="95">
        <f t="shared" si="1"/>
        <v>4.6638600000000006</v>
      </c>
      <c r="I78" s="1"/>
      <c r="J78" s="336">
        <v>0.83499999999999996</v>
      </c>
      <c r="K78" s="135"/>
      <c r="L78" s="97">
        <f t="shared" si="2"/>
        <v>1.5380499999999997</v>
      </c>
      <c r="M78" s="96"/>
      <c r="N78" s="97">
        <f t="shared" si="3"/>
        <v>1.3083000000000005</v>
      </c>
      <c r="O78" s="100"/>
    </row>
    <row r="79" spans="1:15" x14ac:dyDescent="0.2">
      <c r="A79" s="335">
        <v>126185</v>
      </c>
      <c r="B79" s="335">
        <v>129456</v>
      </c>
      <c r="C79" s="1"/>
      <c r="D79" s="336">
        <v>0.34100000000000003</v>
      </c>
      <c r="E79" s="134"/>
      <c r="F79" s="95">
        <f t="shared" si="0"/>
        <v>5.5740299999999996</v>
      </c>
      <c r="G79" s="94"/>
      <c r="H79" s="95">
        <f t="shared" si="1"/>
        <v>4.7761800000000001</v>
      </c>
      <c r="I79" s="1"/>
      <c r="J79" s="336">
        <v>0.83199999999999996</v>
      </c>
      <c r="K79" s="135"/>
      <c r="L79" s="97">
        <f t="shared" si="2"/>
        <v>1.5625599999999997</v>
      </c>
      <c r="M79" s="96"/>
      <c r="N79" s="97">
        <f t="shared" si="3"/>
        <v>1.3293600000000005</v>
      </c>
    </row>
    <row r="80" spans="1:15" x14ac:dyDescent="0.2">
      <c r="A80" s="335">
        <v>129457</v>
      </c>
      <c r="B80" s="335">
        <v>132729</v>
      </c>
      <c r="C80" s="1"/>
      <c r="D80" s="336">
        <v>0.33300000000000002</v>
      </c>
      <c r="E80" s="134"/>
      <c r="F80" s="95">
        <f t="shared" si="0"/>
        <v>5.6393899999999997</v>
      </c>
      <c r="G80" s="94"/>
      <c r="H80" s="95">
        <f t="shared" si="1"/>
        <v>4.8323400000000003</v>
      </c>
      <c r="I80" s="1"/>
      <c r="J80" s="336">
        <v>0.82499999999999996</v>
      </c>
      <c r="K80" s="135"/>
      <c r="L80" s="97">
        <f t="shared" si="2"/>
        <v>1.6197499999999998</v>
      </c>
      <c r="M80" s="96"/>
      <c r="N80" s="97">
        <f t="shared" si="3"/>
        <v>1.3785000000000005</v>
      </c>
    </row>
    <row r="81" spans="1:14" x14ac:dyDescent="0.2">
      <c r="A81" s="335">
        <v>132730</v>
      </c>
      <c r="B81" s="335">
        <v>135999</v>
      </c>
      <c r="C81" s="1"/>
      <c r="D81" s="336">
        <v>0.33300000000000002</v>
      </c>
      <c r="E81" s="134"/>
      <c r="F81" s="95">
        <f t="shared" si="0"/>
        <v>5.6393899999999997</v>
      </c>
      <c r="G81" s="94"/>
      <c r="H81" s="95">
        <f t="shared" si="1"/>
        <v>4.8323400000000003</v>
      </c>
      <c r="I81" s="1"/>
      <c r="J81" s="336">
        <v>0.81899999999999995</v>
      </c>
      <c r="K81" s="135"/>
      <c r="L81" s="97">
        <f t="shared" si="2"/>
        <v>1.6687699999999999</v>
      </c>
      <c r="M81" s="96"/>
      <c r="N81" s="97">
        <f t="shared" si="3"/>
        <v>1.4206200000000007</v>
      </c>
    </row>
    <row r="82" spans="1:14" x14ac:dyDescent="0.2">
      <c r="A82" s="335">
        <v>136000</v>
      </c>
      <c r="B82" s="335">
        <v>139270</v>
      </c>
      <c r="C82" s="1"/>
      <c r="D82" s="336">
        <v>0.33300000000000002</v>
      </c>
      <c r="E82" s="134"/>
      <c r="F82" s="95">
        <f t="shared" si="0"/>
        <v>5.6393899999999997</v>
      </c>
      <c r="G82" s="94"/>
      <c r="H82" s="95">
        <f t="shared" si="1"/>
        <v>4.8323400000000003</v>
      </c>
      <c r="I82" s="1"/>
      <c r="J82" s="336">
        <v>0.80900000000000005</v>
      </c>
      <c r="K82" s="135"/>
      <c r="L82" s="97">
        <f t="shared" si="2"/>
        <v>1.7504699999999991</v>
      </c>
      <c r="M82" s="96"/>
      <c r="N82" s="97">
        <f t="shared" si="3"/>
        <v>1.4908199999999998</v>
      </c>
    </row>
    <row r="83" spans="1:14" x14ac:dyDescent="0.2">
      <c r="A83" s="335">
        <v>139271</v>
      </c>
      <c r="B83" s="335">
        <v>142541</v>
      </c>
      <c r="C83" s="1"/>
      <c r="D83" s="336">
        <v>0.33300000000000002</v>
      </c>
      <c r="E83" s="134"/>
      <c r="F83" s="95">
        <f t="shared" si="0"/>
        <v>5.6393899999999997</v>
      </c>
      <c r="G83" s="94"/>
      <c r="H83" s="95">
        <f t="shared" si="1"/>
        <v>4.8323400000000003</v>
      </c>
      <c r="I83" s="1"/>
      <c r="J83" s="336">
        <v>0.80600000000000005</v>
      </c>
      <c r="K83" s="135"/>
      <c r="L83" s="97">
        <f t="shared" si="2"/>
        <v>1.7749799999999991</v>
      </c>
      <c r="M83" s="96"/>
      <c r="N83" s="97">
        <f t="shared" si="3"/>
        <v>1.5118799999999999</v>
      </c>
    </row>
    <row r="84" spans="1:14" x14ac:dyDescent="0.2">
      <c r="A84" s="335">
        <v>142542</v>
      </c>
      <c r="B84" s="335">
        <v>145813</v>
      </c>
      <c r="C84" s="1"/>
      <c r="D84" s="336">
        <v>0.33300000000000002</v>
      </c>
      <c r="E84" s="134"/>
      <c r="F84" s="95">
        <f t="shared" si="0"/>
        <v>5.6393899999999997</v>
      </c>
      <c r="G84" s="94"/>
      <c r="H84" s="95">
        <f t="shared" si="1"/>
        <v>4.8323400000000003</v>
      </c>
      <c r="I84" s="1"/>
      <c r="J84" s="336">
        <v>0.79800000000000004</v>
      </c>
      <c r="K84" s="135"/>
      <c r="L84" s="97">
        <f t="shared" si="2"/>
        <v>1.8403399999999992</v>
      </c>
      <c r="M84" s="96"/>
      <c r="N84" s="97">
        <f t="shared" si="3"/>
        <v>1.5680399999999999</v>
      </c>
    </row>
    <row r="85" spans="1:14" x14ac:dyDescent="0.2">
      <c r="A85" s="335">
        <v>145814</v>
      </c>
      <c r="B85" s="335">
        <v>149088</v>
      </c>
      <c r="C85" s="1"/>
      <c r="D85" s="336">
        <v>0.33300000000000002</v>
      </c>
      <c r="E85" s="134"/>
      <c r="F85" s="95">
        <f t="shared" si="0"/>
        <v>5.6393899999999997</v>
      </c>
      <c r="G85" s="94"/>
      <c r="H85" s="95">
        <f t="shared" si="1"/>
        <v>4.8323400000000003</v>
      </c>
      <c r="I85" s="1"/>
      <c r="J85" s="336">
        <v>0.78900000000000003</v>
      </c>
      <c r="K85" s="135"/>
      <c r="L85" s="97">
        <f t="shared" si="2"/>
        <v>1.9138699999999993</v>
      </c>
      <c r="M85" s="96"/>
      <c r="N85" s="97">
        <f t="shared" si="3"/>
        <v>1.6312200000000001</v>
      </c>
    </row>
    <row r="86" spans="1:14" x14ac:dyDescent="0.2">
      <c r="A86" s="335">
        <v>149089</v>
      </c>
      <c r="B86" s="335">
        <v>152356</v>
      </c>
      <c r="C86" s="1"/>
      <c r="D86" s="336">
        <v>0.33300000000000002</v>
      </c>
      <c r="E86" s="134"/>
      <c r="F86" s="95">
        <f t="shared" si="0"/>
        <v>5.6393899999999997</v>
      </c>
      <c r="G86" s="94"/>
      <c r="H86" s="95">
        <f t="shared" si="1"/>
        <v>4.8323400000000003</v>
      </c>
      <c r="I86" s="1"/>
      <c r="J86" s="336">
        <v>0.78300000000000003</v>
      </c>
      <c r="K86" s="135"/>
      <c r="L86" s="97">
        <f t="shared" si="2"/>
        <v>1.9628899999999994</v>
      </c>
      <c r="M86" s="96"/>
      <c r="N86" s="97">
        <f t="shared" si="3"/>
        <v>1.67334</v>
      </c>
    </row>
    <row r="87" spans="1:14" x14ac:dyDescent="0.2">
      <c r="A87" s="335">
        <v>152357</v>
      </c>
      <c r="B87" s="335">
        <v>155628</v>
      </c>
      <c r="C87" s="1"/>
      <c r="D87" s="336">
        <v>0.33300000000000002</v>
      </c>
      <c r="E87" s="134"/>
      <c r="F87" s="95">
        <f t="shared" si="0"/>
        <v>5.6393899999999997</v>
      </c>
      <c r="G87" s="94"/>
      <c r="H87" s="95">
        <f t="shared" si="1"/>
        <v>4.8323400000000003</v>
      </c>
      <c r="I87" s="1"/>
      <c r="J87" s="336">
        <v>0.77400000000000002</v>
      </c>
      <c r="K87" s="135"/>
      <c r="L87" s="97">
        <f t="shared" si="2"/>
        <v>2.0364199999999992</v>
      </c>
      <c r="M87" s="96"/>
      <c r="N87" s="97">
        <f t="shared" si="3"/>
        <v>1.7365200000000001</v>
      </c>
    </row>
    <row r="88" spans="1:14" x14ac:dyDescent="0.2">
      <c r="A88" s="335">
        <v>155629</v>
      </c>
      <c r="B88" s="335">
        <v>158897</v>
      </c>
      <c r="C88" s="1"/>
      <c r="D88" s="336">
        <v>0.33300000000000002</v>
      </c>
      <c r="E88" s="134"/>
      <c r="F88" s="95">
        <f t="shared" si="0"/>
        <v>5.6393899999999997</v>
      </c>
      <c r="G88" s="94"/>
      <c r="H88" s="95">
        <f t="shared" si="1"/>
        <v>4.8323400000000003</v>
      </c>
      <c r="I88" s="1"/>
      <c r="J88" s="336">
        <v>0.76900000000000002</v>
      </c>
      <c r="K88" s="135"/>
      <c r="L88" s="97">
        <f t="shared" si="2"/>
        <v>2.0772699999999995</v>
      </c>
      <c r="M88" s="96"/>
      <c r="N88" s="97">
        <f t="shared" si="3"/>
        <v>1.7716200000000002</v>
      </c>
    </row>
    <row r="89" spans="1:14" x14ac:dyDescent="0.2">
      <c r="A89" s="335">
        <v>158898</v>
      </c>
      <c r="B89" s="335">
        <v>162171</v>
      </c>
      <c r="C89" s="1"/>
      <c r="D89" s="336">
        <v>0.33300000000000002</v>
      </c>
      <c r="E89" s="134"/>
      <c r="F89" s="95">
        <f t="shared" si="0"/>
        <v>5.6393899999999997</v>
      </c>
      <c r="G89" s="94"/>
      <c r="H89" s="95">
        <f t="shared" si="1"/>
        <v>4.8323400000000003</v>
      </c>
      <c r="I89" s="1"/>
      <c r="J89" s="336">
        <v>0.76200000000000001</v>
      </c>
      <c r="K89" s="135"/>
      <c r="L89" s="97">
        <f t="shared" si="2"/>
        <v>2.1344599999999994</v>
      </c>
      <c r="M89" s="96"/>
      <c r="N89" s="97">
        <f t="shared" si="3"/>
        <v>1.8207600000000002</v>
      </c>
    </row>
    <row r="90" spans="1:14" x14ac:dyDescent="0.2">
      <c r="A90" s="335">
        <v>162172</v>
      </c>
      <c r="B90" s="335">
        <v>165443</v>
      </c>
      <c r="C90" s="1"/>
      <c r="D90" s="336">
        <v>0.33300000000000002</v>
      </c>
      <c r="E90" s="134"/>
      <c r="F90" s="95">
        <f t="shared" si="0"/>
        <v>5.6393899999999997</v>
      </c>
      <c r="G90" s="94"/>
      <c r="H90" s="95">
        <f t="shared" si="1"/>
        <v>4.8323400000000003</v>
      </c>
      <c r="I90" s="1"/>
      <c r="J90" s="336">
        <v>0.755</v>
      </c>
      <c r="K90" s="135"/>
      <c r="L90" s="97">
        <f t="shared" si="2"/>
        <v>2.1916499999999997</v>
      </c>
      <c r="M90" s="96"/>
      <c r="N90" s="97">
        <f t="shared" si="3"/>
        <v>1.8699000000000001</v>
      </c>
    </row>
    <row r="91" spans="1:14" x14ac:dyDescent="0.2">
      <c r="A91" s="335">
        <v>165444</v>
      </c>
      <c r="B91" s="335">
        <v>168714</v>
      </c>
      <c r="C91" s="1"/>
      <c r="D91" s="336">
        <v>0.33300000000000002</v>
      </c>
      <c r="E91" s="134"/>
      <c r="F91" s="95">
        <f t="shared" si="0"/>
        <v>5.6393899999999997</v>
      </c>
      <c r="G91" s="94"/>
      <c r="H91" s="95">
        <f t="shared" si="1"/>
        <v>4.8323400000000003</v>
      </c>
      <c r="I91" s="1"/>
      <c r="J91" s="336">
        <v>0.748</v>
      </c>
      <c r="K91" s="135"/>
      <c r="L91" s="97">
        <f t="shared" si="2"/>
        <v>2.2488399999999995</v>
      </c>
      <c r="M91" s="96"/>
      <c r="N91" s="97">
        <f t="shared" si="3"/>
        <v>1.9190400000000003</v>
      </c>
    </row>
    <row r="92" spans="1:14" x14ac:dyDescent="0.2">
      <c r="A92" s="335">
        <v>168715</v>
      </c>
      <c r="B92" s="335">
        <v>171985</v>
      </c>
      <c r="C92" s="1"/>
      <c r="D92" s="336">
        <v>0.33300000000000002</v>
      </c>
      <c r="E92" s="134"/>
      <c r="F92" s="95">
        <f t="shared" si="0"/>
        <v>5.6393899999999997</v>
      </c>
      <c r="G92" s="94"/>
      <c r="H92" s="95">
        <f t="shared" si="1"/>
        <v>4.8323400000000003</v>
      </c>
      <c r="I92" s="1"/>
      <c r="J92" s="336">
        <v>0.73799999999999999</v>
      </c>
      <c r="K92" s="135"/>
      <c r="L92" s="97">
        <f t="shared" si="2"/>
        <v>2.3305399999999996</v>
      </c>
      <c r="M92" s="96"/>
      <c r="N92" s="97">
        <f t="shared" si="3"/>
        <v>1.9892400000000003</v>
      </c>
    </row>
    <row r="93" spans="1:14" x14ac:dyDescent="0.2">
      <c r="A93" s="335">
        <v>171986</v>
      </c>
      <c r="B93" s="335">
        <v>175253</v>
      </c>
      <c r="C93" s="1"/>
      <c r="D93" s="336">
        <v>0.33300000000000002</v>
      </c>
      <c r="E93" s="134"/>
      <c r="F93" s="95">
        <f t="shared" si="0"/>
        <v>5.6393899999999997</v>
      </c>
      <c r="G93" s="94"/>
      <c r="H93" s="95">
        <f t="shared" si="1"/>
        <v>4.8323400000000003</v>
      </c>
      <c r="I93" s="1"/>
      <c r="J93" s="336">
        <v>0.73299999999999998</v>
      </c>
      <c r="K93" s="135"/>
      <c r="L93" s="97">
        <f t="shared" si="2"/>
        <v>2.3713899999999994</v>
      </c>
      <c r="M93" s="96"/>
      <c r="N93" s="97">
        <f t="shared" si="3"/>
        <v>2.0243400000000005</v>
      </c>
    </row>
    <row r="94" spans="1:14" x14ac:dyDescent="0.2">
      <c r="A94" s="335">
        <v>175254</v>
      </c>
      <c r="B94" s="335">
        <v>178527</v>
      </c>
      <c r="C94" s="1"/>
      <c r="D94" s="336">
        <v>0.33300000000000002</v>
      </c>
      <c r="E94" s="134"/>
      <c r="F94" s="95">
        <f t="shared" si="0"/>
        <v>5.6393899999999997</v>
      </c>
      <c r="G94" s="94"/>
      <c r="H94" s="95">
        <f t="shared" si="1"/>
        <v>4.8323400000000003</v>
      </c>
      <c r="I94" s="1"/>
      <c r="J94" s="336">
        <v>0.72599999999999998</v>
      </c>
      <c r="K94" s="135"/>
      <c r="L94" s="97">
        <f t="shared" si="2"/>
        <v>2.4285799999999997</v>
      </c>
      <c r="M94" s="96"/>
      <c r="N94" s="97">
        <f t="shared" si="3"/>
        <v>2.0734800000000004</v>
      </c>
    </row>
    <row r="95" spans="1:14" x14ac:dyDescent="0.2">
      <c r="A95" s="335">
        <v>178528</v>
      </c>
      <c r="B95" s="335">
        <v>181797</v>
      </c>
      <c r="C95" s="1"/>
      <c r="D95" s="336">
        <v>0.33300000000000002</v>
      </c>
      <c r="E95" s="134"/>
      <c r="F95" s="95">
        <f t="shared" si="0"/>
        <v>5.6393899999999997</v>
      </c>
      <c r="G95" s="94"/>
      <c r="H95" s="95">
        <f t="shared" si="1"/>
        <v>4.8323400000000003</v>
      </c>
      <c r="I95" s="1"/>
      <c r="J95" s="336">
        <v>0.71799999999999997</v>
      </c>
      <c r="K95" s="135"/>
      <c r="L95" s="97">
        <f t="shared" si="2"/>
        <v>2.4939399999999998</v>
      </c>
      <c r="M95" s="96"/>
      <c r="N95" s="97">
        <f t="shared" si="3"/>
        <v>2.1296400000000002</v>
      </c>
    </row>
    <row r="96" spans="1:14" x14ac:dyDescent="0.2">
      <c r="A96" s="335">
        <v>181798</v>
      </c>
      <c r="B96" s="335">
        <v>185070</v>
      </c>
      <c r="C96" s="1"/>
      <c r="D96" s="336">
        <v>0.33300000000000002</v>
      </c>
      <c r="E96" s="134"/>
      <c r="F96" s="95">
        <f t="shared" si="0"/>
        <v>5.6393899999999997</v>
      </c>
      <c r="G96" s="94"/>
      <c r="H96" s="95">
        <f t="shared" si="1"/>
        <v>4.8323400000000003</v>
      </c>
      <c r="I96" s="1"/>
      <c r="J96" s="336">
        <v>0.71099999999999997</v>
      </c>
      <c r="K96" s="135"/>
      <c r="L96" s="97">
        <f t="shared" si="2"/>
        <v>2.5511299999999997</v>
      </c>
      <c r="M96" s="96"/>
      <c r="N96" s="97">
        <f t="shared" si="3"/>
        <v>2.1787800000000006</v>
      </c>
    </row>
    <row r="97" spans="1:14" x14ac:dyDescent="0.2">
      <c r="A97" s="335">
        <v>185071</v>
      </c>
      <c r="B97" s="335">
        <v>188342</v>
      </c>
      <c r="C97" s="1"/>
      <c r="D97" s="336">
        <v>0.33300000000000002</v>
      </c>
      <c r="E97" s="134"/>
      <c r="F97" s="95">
        <f t="shared" si="0"/>
        <v>5.6393899999999997</v>
      </c>
      <c r="G97" s="94"/>
      <c r="H97" s="95">
        <f t="shared" si="1"/>
        <v>4.8323400000000003</v>
      </c>
      <c r="I97" s="1"/>
      <c r="J97" s="336">
        <v>0.70499999999999996</v>
      </c>
      <c r="K97" s="135"/>
      <c r="L97" s="97">
        <f t="shared" si="2"/>
        <v>2.6001499999999997</v>
      </c>
      <c r="M97" s="96"/>
      <c r="N97" s="97">
        <f t="shared" si="3"/>
        <v>2.2209000000000003</v>
      </c>
    </row>
    <row r="98" spans="1:14" x14ac:dyDescent="0.2">
      <c r="A98" s="335">
        <v>188343</v>
      </c>
      <c r="B98" s="335">
        <v>191612</v>
      </c>
      <c r="C98" s="1"/>
      <c r="D98" s="336">
        <v>0.33300000000000002</v>
      </c>
      <c r="E98" s="134"/>
      <c r="F98" s="95">
        <f t="shared" ref="F98:F101" si="4">IF($D$19&gt;=$F$28,($F$28*(100%-D98))+($F$19),$D$19*(100%-D98)+$F$19)</f>
        <v>5.6393899999999997</v>
      </c>
      <c r="G98" s="94"/>
      <c r="H98" s="95">
        <f t="shared" ref="H98:H101" si="5">IF($D$20&gt;=$H$28,($H$28*(100%-D98))+($F$20),$D$20*(100%-D98)+($F$20))</f>
        <v>4.8323400000000003</v>
      </c>
      <c r="I98" s="1"/>
      <c r="J98" s="336">
        <v>0.69799999999999995</v>
      </c>
      <c r="K98" s="135"/>
      <c r="L98" s="97">
        <f t="shared" ref="L98:L101" si="6">IF($D$19&gt;=$L$28,($L$28*(100%-J98))+(F$19),$D$19*(100%-J98)+$F$19)</f>
        <v>2.65734</v>
      </c>
      <c r="M98" s="96"/>
      <c r="N98" s="97">
        <f t="shared" ref="N98:N101" si="7">IF($D$20&gt;=$H$28,($H$28*(100%-J98))+($F$20),$D$20*(100%-J98)+($F$20))</f>
        <v>2.2700400000000007</v>
      </c>
    </row>
    <row r="99" spans="1:14" x14ac:dyDescent="0.2">
      <c r="A99" s="335">
        <v>191613</v>
      </c>
      <c r="B99" s="335">
        <v>194884</v>
      </c>
      <c r="C99" s="1"/>
      <c r="D99" s="336">
        <v>0.33300000000000002</v>
      </c>
      <c r="E99" s="134"/>
      <c r="F99" s="95">
        <f t="shared" si="4"/>
        <v>5.6393899999999997</v>
      </c>
      <c r="G99" s="94"/>
      <c r="H99" s="95">
        <f t="shared" si="5"/>
        <v>4.8323400000000003</v>
      </c>
      <c r="I99" s="1"/>
      <c r="J99" s="336">
        <v>0.69</v>
      </c>
      <c r="K99" s="135"/>
      <c r="L99" s="97">
        <f t="shared" si="6"/>
        <v>2.7227000000000001</v>
      </c>
      <c r="M99" s="96"/>
      <c r="N99" s="97">
        <f t="shared" si="7"/>
        <v>2.3262000000000005</v>
      </c>
    </row>
    <row r="100" spans="1:14" x14ac:dyDescent="0.2">
      <c r="A100" s="335">
        <v>194885</v>
      </c>
      <c r="B100" s="335">
        <v>198154</v>
      </c>
      <c r="C100" s="1"/>
      <c r="D100" s="336">
        <v>0.33300000000000002</v>
      </c>
      <c r="E100" s="134"/>
      <c r="F100" s="95">
        <f t="shared" si="4"/>
        <v>5.6393899999999997</v>
      </c>
      <c r="G100" s="94"/>
      <c r="H100" s="95">
        <f t="shared" si="5"/>
        <v>4.8323400000000003</v>
      </c>
      <c r="I100" s="1"/>
      <c r="J100" s="336">
        <v>0.68500000000000005</v>
      </c>
      <c r="K100" s="135"/>
      <c r="L100" s="97">
        <f t="shared" si="6"/>
        <v>2.7635499999999991</v>
      </c>
      <c r="M100" s="96"/>
      <c r="N100" s="97">
        <f t="shared" si="7"/>
        <v>2.3613</v>
      </c>
    </row>
    <row r="101" spans="1:14" x14ac:dyDescent="0.2">
      <c r="A101" s="335">
        <v>198155</v>
      </c>
      <c r="B101" s="334" t="s">
        <v>249</v>
      </c>
      <c r="C101" s="1"/>
      <c r="D101" s="336">
        <v>0.33300000000000002</v>
      </c>
      <c r="E101" s="134"/>
      <c r="F101" s="95">
        <f t="shared" si="4"/>
        <v>5.6393899999999997</v>
      </c>
      <c r="G101" s="94"/>
      <c r="H101" s="95">
        <f t="shared" si="5"/>
        <v>4.8323400000000003</v>
      </c>
      <c r="I101" s="1"/>
      <c r="J101" s="336">
        <v>0.67600000000000005</v>
      </c>
      <c r="K101" s="135"/>
      <c r="L101" s="97">
        <f t="shared" si="6"/>
        <v>2.8370799999999989</v>
      </c>
      <c r="M101" s="96"/>
      <c r="N101" s="97">
        <f t="shared" si="7"/>
        <v>2.42448</v>
      </c>
    </row>
    <row r="102" spans="1:14" x14ac:dyDescent="0.2">
      <c r="C102" s="1"/>
      <c r="I102" s="1"/>
    </row>
    <row r="103" spans="1:14" x14ac:dyDescent="0.2">
      <c r="C103" s="1"/>
      <c r="I103" s="1"/>
    </row>
    <row r="104" spans="1:14" x14ac:dyDescent="0.2">
      <c r="C104" s="1"/>
      <c r="I104" s="1"/>
    </row>
    <row r="105" spans="1:14" x14ac:dyDescent="0.2">
      <c r="A105" s="102"/>
      <c r="C105" s="1"/>
      <c r="I105" s="1"/>
    </row>
    <row r="106" spans="1:14" x14ac:dyDescent="0.2">
      <c r="A106" s="102"/>
      <c r="C106" s="1"/>
      <c r="I106" s="1"/>
    </row>
    <row r="107" spans="1:14" x14ac:dyDescent="0.2">
      <c r="C107" s="1"/>
      <c r="I107" s="1"/>
    </row>
    <row r="108" spans="1:14" x14ac:dyDescent="0.2">
      <c r="C108" s="1"/>
      <c r="I108" s="1"/>
    </row>
    <row r="109" spans="1:14" x14ac:dyDescent="0.2">
      <c r="C109" s="1"/>
      <c r="I109" s="1"/>
    </row>
    <row r="110" spans="1:14" ht="15.75" x14ac:dyDescent="0.2">
      <c r="A110" s="129"/>
      <c r="B110" s="130"/>
      <c r="C110" s="133"/>
      <c r="D110" s="128"/>
      <c r="I110" s="1"/>
    </row>
    <row r="111" spans="1:14" ht="15.75" x14ac:dyDescent="0.2">
      <c r="A111" s="130"/>
      <c r="B111" s="130"/>
      <c r="C111" s="133"/>
      <c r="D111" s="128"/>
      <c r="I111" s="1"/>
    </row>
    <row r="112" spans="1:14" ht="15.75" x14ac:dyDescent="0.2">
      <c r="A112" s="130"/>
      <c r="B112" s="130"/>
      <c r="C112" s="133"/>
      <c r="D112" s="128"/>
      <c r="I112" s="1"/>
    </row>
    <row r="113" spans="1:10" ht="15.75" x14ac:dyDescent="0.2">
      <c r="A113" s="130"/>
      <c r="B113" s="130"/>
      <c r="C113" s="133"/>
      <c r="D113" s="128"/>
      <c r="I113" s="1"/>
    </row>
    <row r="114" spans="1:10" ht="15.75" x14ac:dyDescent="0.2">
      <c r="A114" s="130"/>
      <c r="B114" s="130"/>
      <c r="C114" s="128"/>
      <c r="D114" s="128"/>
    </row>
    <row r="115" spans="1:10" ht="15.75" x14ac:dyDescent="0.2">
      <c r="A115" s="130"/>
      <c r="B115" s="130"/>
      <c r="C115" s="128"/>
      <c r="D115" s="128"/>
      <c r="F115"/>
      <c r="H115"/>
      <c r="J115"/>
    </row>
    <row r="116" spans="1:10" ht="15.75" x14ac:dyDescent="0.2">
      <c r="A116" s="130"/>
      <c r="B116" s="130"/>
      <c r="C116" s="128"/>
      <c r="D116" s="128"/>
      <c r="F116"/>
      <c r="H116"/>
      <c r="J116"/>
    </row>
    <row r="117" spans="1:10" ht="15.75" x14ac:dyDescent="0.2">
      <c r="A117" s="130"/>
      <c r="B117" s="130"/>
      <c r="C117" s="128"/>
      <c r="D117" s="128"/>
      <c r="F117"/>
      <c r="H117"/>
      <c r="J117"/>
    </row>
    <row r="118" spans="1:10" ht="15.75" x14ac:dyDescent="0.2">
      <c r="A118" s="130"/>
      <c r="B118" s="130"/>
      <c r="C118" s="128"/>
      <c r="D118" s="128"/>
      <c r="F118"/>
      <c r="H118"/>
      <c r="J118"/>
    </row>
    <row r="119" spans="1:10" ht="15.75" x14ac:dyDescent="0.2">
      <c r="A119" s="130"/>
      <c r="B119" s="130"/>
      <c r="C119" s="128"/>
      <c r="D119" s="128"/>
      <c r="F119"/>
      <c r="H119"/>
      <c r="J119"/>
    </row>
    <row r="120" spans="1:10" ht="15.75" x14ac:dyDescent="0.2">
      <c r="A120" s="130"/>
      <c r="B120" s="130"/>
      <c r="C120" s="128"/>
      <c r="D120" s="128"/>
      <c r="F120"/>
      <c r="H120"/>
      <c r="J120"/>
    </row>
    <row r="121" spans="1:10" ht="15.75" x14ac:dyDescent="0.2">
      <c r="A121" s="130"/>
      <c r="B121" s="130"/>
      <c r="C121" s="128"/>
      <c r="D121" s="128"/>
      <c r="F121"/>
      <c r="H121"/>
      <c r="J121"/>
    </row>
    <row r="122" spans="1:10" ht="15.75" x14ac:dyDescent="0.2">
      <c r="A122" s="130"/>
      <c r="B122" s="130"/>
      <c r="C122" s="128"/>
      <c r="D122" s="128"/>
      <c r="F122"/>
      <c r="H122"/>
      <c r="J122"/>
    </row>
    <row r="123" spans="1:10" ht="15.75" x14ac:dyDescent="0.2">
      <c r="A123" s="130"/>
      <c r="B123" s="130"/>
      <c r="C123" s="128"/>
      <c r="D123" s="128"/>
      <c r="F123"/>
      <c r="H123"/>
      <c r="J123"/>
    </row>
    <row r="124" spans="1:10" ht="15.75" x14ac:dyDescent="0.2">
      <c r="A124" s="130"/>
      <c r="B124" s="130"/>
      <c r="C124" s="128"/>
      <c r="D124" s="128"/>
      <c r="F124"/>
      <c r="H124"/>
      <c r="J124"/>
    </row>
    <row r="125" spans="1:10" ht="15.75" x14ac:dyDescent="0.2">
      <c r="A125" s="130"/>
      <c r="B125" s="130"/>
      <c r="C125" s="128"/>
      <c r="D125" s="128"/>
      <c r="F125"/>
      <c r="H125"/>
      <c r="J125"/>
    </row>
    <row r="126" spans="1:10" ht="15.75" x14ac:dyDescent="0.2">
      <c r="A126" s="130"/>
      <c r="B126" s="130"/>
      <c r="C126" s="128"/>
      <c r="D126" s="128"/>
      <c r="F126"/>
      <c r="H126"/>
      <c r="J126"/>
    </row>
    <row r="127" spans="1:10" ht="15.75" x14ac:dyDescent="0.2">
      <c r="A127" s="130"/>
      <c r="B127" s="130"/>
      <c r="C127" s="128"/>
      <c r="D127" s="128"/>
      <c r="F127"/>
      <c r="H127"/>
      <c r="J127"/>
    </row>
    <row r="128" spans="1:10" ht="15.75" x14ac:dyDescent="0.2">
      <c r="A128" s="130"/>
      <c r="B128" s="130"/>
      <c r="C128" s="128"/>
      <c r="D128" s="128"/>
      <c r="F128"/>
      <c r="H128"/>
      <c r="J128"/>
    </row>
    <row r="129" spans="1:10" ht="15.75" x14ac:dyDescent="0.2">
      <c r="A129" s="130"/>
      <c r="B129" s="130"/>
      <c r="C129" s="128"/>
      <c r="D129" s="128"/>
      <c r="F129"/>
      <c r="H129"/>
      <c r="J129"/>
    </row>
    <row r="130" spans="1:10" ht="15.75" x14ac:dyDescent="0.2">
      <c r="A130" s="130"/>
      <c r="B130" s="130"/>
      <c r="C130" s="128"/>
      <c r="D130" s="128"/>
      <c r="F130"/>
      <c r="H130"/>
      <c r="J130"/>
    </row>
    <row r="131" spans="1:10" ht="15.75" x14ac:dyDescent="0.2">
      <c r="A131" s="130"/>
      <c r="B131" s="130"/>
      <c r="C131" s="128"/>
      <c r="D131" s="128"/>
      <c r="F131"/>
      <c r="H131"/>
      <c r="J131"/>
    </row>
    <row r="132" spans="1:10" ht="15.75" x14ac:dyDescent="0.2">
      <c r="A132" s="130"/>
      <c r="B132" s="130"/>
      <c r="C132" s="128"/>
      <c r="D132" s="128"/>
      <c r="F132"/>
      <c r="H132"/>
      <c r="J132"/>
    </row>
    <row r="133" spans="1:10" ht="15.75" x14ac:dyDescent="0.2">
      <c r="A133" s="130"/>
      <c r="B133" s="130"/>
      <c r="C133" s="128"/>
      <c r="D133" s="128"/>
      <c r="F133"/>
      <c r="H133"/>
      <c r="J133"/>
    </row>
    <row r="134" spans="1:10" ht="15.75" x14ac:dyDescent="0.2">
      <c r="A134" s="130"/>
      <c r="B134" s="130"/>
      <c r="C134" s="128"/>
      <c r="D134" s="128"/>
      <c r="F134"/>
      <c r="H134"/>
      <c r="J134"/>
    </row>
    <row r="135" spans="1:10" ht="15.75" x14ac:dyDescent="0.2">
      <c r="A135" s="130"/>
      <c r="B135" s="130"/>
      <c r="C135" s="128"/>
      <c r="D135" s="128"/>
      <c r="F135"/>
      <c r="H135"/>
      <c r="J135"/>
    </row>
    <row r="136" spans="1:10" ht="15.75" x14ac:dyDescent="0.2">
      <c r="A136" s="130"/>
      <c r="B136" s="130"/>
      <c r="C136" s="128"/>
      <c r="D136" s="128"/>
      <c r="F136"/>
      <c r="H136"/>
      <c r="J136"/>
    </row>
    <row r="137" spans="1:10" ht="15.75" x14ac:dyDescent="0.2">
      <c r="A137" s="130"/>
      <c r="B137" s="130"/>
      <c r="C137" s="128"/>
      <c r="D137" s="128"/>
      <c r="F137"/>
      <c r="H137"/>
      <c r="J137"/>
    </row>
    <row r="138" spans="1:10" ht="15.75" x14ac:dyDescent="0.2">
      <c r="A138" s="130"/>
      <c r="B138" s="130"/>
      <c r="C138" s="128"/>
      <c r="D138" s="128"/>
      <c r="F138"/>
      <c r="H138"/>
      <c r="J138"/>
    </row>
    <row r="139" spans="1:10" ht="15.75" x14ac:dyDescent="0.2">
      <c r="A139" s="130"/>
      <c r="B139" s="130"/>
      <c r="C139" s="128"/>
      <c r="D139" s="128"/>
      <c r="F139"/>
      <c r="H139"/>
      <c r="J139"/>
    </row>
    <row r="140" spans="1:10" ht="15.75" x14ac:dyDescent="0.2">
      <c r="A140" s="130"/>
      <c r="B140" s="130"/>
      <c r="C140" s="128"/>
      <c r="D140" s="128"/>
      <c r="F140"/>
      <c r="H140"/>
      <c r="J140"/>
    </row>
    <row r="141" spans="1:10" ht="15.75" x14ac:dyDescent="0.2">
      <c r="A141" s="130"/>
      <c r="B141" s="130"/>
      <c r="C141" s="128"/>
      <c r="D141" s="128"/>
      <c r="F141"/>
      <c r="H141"/>
      <c r="J141"/>
    </row>
    <row r="142" spans="1:10" ht="15.75" x14ac:dyDescent="0.2">
      <c r="A142" s="130"/>
      <c r="B142" s="130"/>
      <c r="C142" s="128"/>
      <c r="D142" s="128"/>
      <c r="F142"/>
      <c r="H142"/>
      <c r="J142"/>
    </row>
    <row r="143" spans="1:10" ht="15.75" x14ac:dyDescent="0.2">
      <c r="A143" s="130"/>
      <c r="B143" s="130"/>
      <c r="C143" s="128"/>
      <c r="D143" s="128"/>
      <c r="F143"/>
      <c r="H143"/>
      <c r="J143"/>
    </row>
    <row r="144" spans="1:10" ht="15.75" x14ac:dyDescent="0.2">
      <c r="A144" s="130"/>
      <c r="B144" s="130"/>
      <c r="C144" s="128"/>
      <c r="D144" s="128"/>
      <c r="F144"/>
      <c r="H144"/>
      <c r="J144"/>
    </row>
    <row r="145" spans="1:10" ht="15.75" x14ac:dyDescent="0.2">
      <c r="A145" s="130"/>
      <c r="B145" s="130"/>
      <c r="C145" s="128"/>
      <c r="D145" s="128"/>
      <c r="F145"/>
      <c r="H145"/>
      <c r="J145"/>
    </row>
    <row r="146" spans="1:10" ht="15.75" x14ac:dyDescent="0.2">
      <c r="A146" s="130"/>
      <c r="B146" s="130"/>
      <c r="C146" s="128"/>
      <c r="D146" s="128"/>
      <c r="F146"/>
      <c r="H146"/>
      <c r="J146"/>
    </row>
    <row r="147" spans="1:10" ht="15.75" x14ac:dyDescent="0.2">
      <c r="A147" s="130"/>
      <c r="B147" s="130"/>
      <c r="C147" s="128"/>
      <c r="D147" s="128"/>
      <c r="F147"/>
      <c r="H147"/>
      <c r="J147"/>
    </row>
    <row r="148" spans="1:10" ht="15.75" x14ac:dyDescent="0.2">
      <c r="A148" s="130"/>
      <c r="B148" s="130"/>
      <c r="C148" s="128"/>
      <c r="D148" s="128"/>
      <c r="F148"/>
      <c r="H148"/>
      <c r="J148"/>
    </row>
    <row r="149" spans="1:10" ht="15.75" x14ac:dyDescent="0.2">
      <c r="A149" s="130"/>
      <c r="B149" s="130"/>
      <c r="C149" s="128"/>
      <c r="D149" s="128"/>
      <c r="F149"/>
      <c r="H149"/>
      <c r="J149"/>
    </row>
    <row r="150" spans="1:10" ht="15.75" x14ac:dyDescent="0.2">
      <c r="A150" s="131"/>
      <c r="B150" s="132"/>
      <c r="C150" s="128"/>
      <c r="D150" s="128"/>
      <c r="F150"/>
      <c r="H150"/>
      <c r="J150"/>
    </row>
    <row r="151" spans="1:10" ht="15.75" x14ac:dyDescent="0.2">
      <c r="A151" s="132"/>
      <c r="B151" s="132"/>
      <c r="C151" s="128"/>
      <c r="D151" s="128"/>
      <c r="F151"/>
      <c r="H151"/>
      <c r="J151"/>
    </row>
    <row r="152" spans="1:10" ht="15.75" x14ac:dyDescent="0.2">
      <c r="A152" s="132"/>
      <c r="B152" s="132"/>
      <c r="C152" s="128"/>
      <c r="D152" s="128"/>
      <c r="F152"/>
      <c r="H152"/>
      <c r="J152"/>
    </row>
    <row r="153" spans="1:10" ht="15.75" x14ac:dyDescent="0.2">
      <c r="A153" s="132"/>
      <c r="B153" s="132"/>
      <c r="C153" s="128"/>
      <c r="D153" s="128"/>
      <c r="F153"/>
      <c r="H153"/>
      <c r="J153"/>
    </row>
    <row r="154" spans="1:10" ht="15.75" x14ac:dyDescent="0.2">
      <c r="A154" s="132"/>
      <c r="B154" s="132"/>
      <c r="C154" s="128"/>
      <c r="D154" s="128"/>
      <c r="F154"/>
      <c r="H154"/>
      <c r="J154"/>
    </row>
    <row r="155" spans="1:10" ht="15.75" x14ac:dyDescent="0.2">
      <c r="A155" s="132"/>
      <c r="B155" s="132"/>
      <c r="C155" s="128"/>
      <c r="D155" s="128"/>
      <c r="F155"/>
      <c r="H155"/>
      <c r="J155"/>
    </row>
    <row r="156" spans="1:10" ht="15.75" x14ac:dyDescent="0.2">
      <c r="A156" s="132"/>
      <c r="B156" s="132"/>
      <c r="C156" s="128"/>
      <c r="D156" s="128"/>
      <c r="F156"/>
      <c r="H156"/>
      <c r="J156"/>
    </row>
    <row r="157" spans="1:10" ht="15.75" x14ac:dyDescent="0.2">
      <c r="A157" s="132"/>
      <c r="B157" s="132"/>
      <c r="C157" s="128"/>
      <c r="D157" s="128"/>
      <c r="F157"/>
      <c r="H157"/>
      <c r="J157"/>
    </row>
    <row r="158" spans="1:10" ht="15.75" x14ac:dyDescent="0.2">
      <c r="A158" s="132"/>
      <c r="B158" s="132"/>
      <c r="C158" s="128"/>
      <c r="D158" s="128"/>
      <c r="F158"/>
      <c r="H158"/>
      <c r="J158"/>
    </row>
    <row r="159" spans="1:10" ht="15.75" x14ac:dyDescent="0.2">
      <c r="A159" s="132"/>
      <c r="B159" s="132"/>
      <c r="C159" s="128"/>
      <c r="D159" s="128"/>
      <c r="F159"/>
      <c r="H159"/>
      <c r="J159"/>
    </row>
    <row r="160" spans="1:10" ht="15.75" x14ac:dyDescent="0.2">
      <c r="A160" s="132"/>
      <c r="B160" s="132"/>
      <c r="C160" s="128"/>
      <c r="D160" s="128"/>
      <c r="F160"/>
      <c r="H160"/>
      <c r="J160"/>
    </row>
    <row r="161" spans="1:10" ht="15.75" x14ac:dyDescent="0.2">
      <c r="A161" s="132"/>
      <c r="B161" s="132"/>
      <c r="C161" s="128"/>
      <c r="D161" s="128"/>
      <c r="F161"/>
      <c r="H161"/>
      <c r="J161"/>
    </row>
    <row r="162" spans="1:10" ht="15.75" x14ac:dyDescent="0.2">
      <c r="A162" s="132"/>
      <c r="B162" s="132"/>
      <c r="C162" s="128"/>
      <c r="D162" s="128"/>
      <c r="F162"/>
      <c r="H162"/>
      <c r="J162"/>
    </row>
    <row r="163" spans="1:10" ht="15.75" x14ac:dyDescent="0.2">
      <c r="A163" s="132"/>
      <c r="B163" s="132"/>
      <c r="C163" s="128"/>
      <c r="D163" s="128"/>
      <c r="F163"/>
      <c r="H163"/>
      <c r="J163"/>
    </row>
    <row r="164" spans="1:10" ht="15.75" x14ac:dyDescent="0.2">
      <c r="A164" s="132"/>
      <c r="B164" s="132"/>
      <c r="C164" s="128"/>
      <c r="D164" s="128"/>
      <c r="F164"/>
      <c r="H164"/>
      <c r="J164"/>
    </row>
    <row r="165" spans="1:10" ht="15.75" x14ac:dyDescent="0.2">
      <c r="A165" s="132"/>
      <c r="B165" s="132"/>
      <c r="C165" s="128"/>
      <c r="D165" s="128"/>
      <c r="F165"/>
      <c r="H165"/>
      <c r="J165"/>
    </row>
    <row r="166" spans="1:10" ht="15.75" x14ac:dyDescent="0.2">
      <c r="A166" s="132"/>
      <c r="B166" s="132"/>
      <c r="C166" s="128"/>
      <c r="D166" s="128"/>
      <c r="F166"/>
      <c r="H166"/>
      <c r="J166"/>
    </row>
    <row r="167" spans="1:10" ht="15.75" x14ac:dyDescent="0.2">
      <c r="A167" s="132"/>
      <c r="B167" s="131"/>
      <c r="C167" s="128"/>
      <c r="D167" s="128"/>
      <c r="F167"/>
      <c r="H167"/>
      <c r="J167"/>
    </row>
    <row r="168" spans="1:10" ht="15.75" x14ac:dyDescent="0.2">
      <c r="A168" s="132"/>
      <c r="B168" s="132"/>
      <c r="C168" s="128"/>
      <c r="D168" s="128"/>
      <c r="F168"/>
      <c r="H168"/>
      <c r="J168"/>
    </row>
    <row r="169" spans="1:10" ht="15.75" x14ac:dyDescent="0.2">
      <c r="A169" s="132"/>
      <c r="B169" s="132"/>
      <c r="C169" s="128"/>
      <c r="D169" s="128"/>
      <c r="F169"/>
      <c r="H169"/>
      <c r="J169"/>
    </row>
    <row r="170" spans="1:10" ht="15.75" x14ac:dyDescent="0.2">
      <c r="A170" s="132"/>
      <c r="B170" s="132"/>
      <c r="C170" s="128"/>
      <c r="D170" s="128"/>
      <c r="F170"/>
      <c r="H170"/>
      <c r="J170"/>
    </row>
    <row r="171" spans="1:10" ht="15.75" x14ac:dyDescent="0.2">
      <c r="A171" s="132"/>
      <c r="B171" s="132"/>
      <c r="C171" s="128"/>
      <c r="D171" s="128"/>
      <c r="F171"/>
      <c r="H171"/>
      <c r="J171"/>
    </row>
    <row r="172" spans="1:10" ht="15.75" x14ac:dyDescent="0.2">
      <c r="A172" s="132"/>
      <c r="B172" s="132"/>
      <c r="C172" s="128"/>
      <c r="D172" s="128"/>
      <c r="F172"/>
      <c r="H172"/>
      <c r="J172"/>
    </row>
    <row r="173" spans="1:10" ht="15.75" x14ac:dyDescent="0.2">
      <c r="A173" s="132"/>
      <c r="B173" s="132"/>
      <c r="C173" s="128"/>
      <c r="D173" s="128"/>
      <c r="F173"/>
      <c r="H173"/>
      <c r="J173"/>
    </row>
    <row r="174" spans="1:10" ht="15.75" x14ac:dyDescent="0.2">
      <c r="A174" s="132"/>
      <c r="B174" s="132"/>
      <c r="C174" s="128"/>
      <c r="D174" s="128"/>
      <c r="F174"/>
      <c r="H174"/>
      <c r="J174"/>
    </row>
    <row r="175" spans="1:10" ht="15.75" x14ac:dyDescent="0.2">
      <c r="A175" s="132"/>
      <c r="B175" s="132"/>
      <c r="C175" s="128"/>
      <c r="D175" s="128"/>
      <c r="F175"/>
      <c r="H175"/>
      <c r="J175"/>
    </row>
    <row r="176" spans="1:10" ht="15.75" x14ac:dyDescent="0.2">
      <c r="A176" s="132"/>
      <c r="B176" s="132"/>
      <c r="C176" s="128"/>
      <c r="D176" s="128"/>
      <c r="F176"/>
      <c r="H176"/>
      <c r="J176"/>
    </row>
    <row r="177" spans="1:10" ht="15.75" x14ac:dyDescent="0.2">
      <c r="A177" s="132"/>
      <c r="B177" s="132"/>
      <c r="C177" s="128"/>
      <c r="D177" s="128"/>
      <c r="F177"/>
      <c r="H177"/>
      <c r="J177"/>
    </row>
    <row r="178" spans="1:10" ht="15.75" x14ac:dyDescent="0.2">
      <c r="A178" s="132"/>
      <c r="B178" s="129"/>
      <c r="C178" s="128"/>
      <c r="D178" s="128"/>
      <c r="F178"/>
      <c r="H178"/>
      <c r="J178"/>
    </row>
  </sheetData>
  <mergeCells count="3">
    <mergeCell ref="A24:B24"/>
    <mergeCell ref="D24:H24"/>
    <mergeCell ref="J24:N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17" activePane="bottomLeft" state="frozen"/>
      <selection activeCell="A4" sqref="A4"/>
      <selection pane="bottomLeft" activeCell="F29" sqref="F29"/>
    </sheetView>
  </sheetViews>
  <sheetFormatPr defaultRowHeight="12.75" x14ac:dyDescent="0.2"/>
  <cols>
    <col min="1" max="2" width="12" style="67" customWidth="1"/>
    <col min="3" max="3" width="2.7109375" customWidth="1"/>
    <col min="4" max="4" width="12" style="68" customWidth="1"/>
    <col min="5" max="5" width="2.7109375" customWidth="1"/>
    <col min="6" max="6" width="12" style="69" customWidth="1"/>
    <col min="7" max="7" width="2.7109375" customWidth="1"/>
    <col min="8" max="8" width="12" style="69" customWidth="1"/>
    <col min="9" max="9" width="16.7109375" bestFit="1" customWidth="1"/>
    <col min="10" max="10" width="12" style="68" customWidth="1"/>
    <col min="11" max="11" width="2.7109375" customWidth="1"/>
    <col min="12" max="12" width="12" customWidth="1"/>
    <col min="13" max="13" width="2.7109375" customWidth="1"/>
    <col min="14" max="14" width="12" customWidth="1"/>
    <col min="17" max="17" width="10.7109375" bestFit="1" customWidth="1"/>
  </cols>
  <sheetData>
    <row r="1" spans="1:2" s="1" customFormat="1" ht="19.5" x14ac:dyDescent="0.25">
      <c r="A1" s="63" t="s">
        <v>216</v>
      </c>
    </row>
    <row r="2" spans="1:2" s="1" customFormat="1" x14ac:dyDescent="0.2">
      <c r="A2" s="1" t="s">
        <v>214</v>
      </c>
    </row>
    <row r="3" spans="1:2" s="1" customFormat="1" x14ac:dyDescent="0.2"/>
    <row r="4" spans="1:2" s="1" customFormat="1" x14ac:dyDescent="0.2"/>
    <row r="5" spans="1:2" s="1" customFormat="1" ht="14.25" x14ac:dyDescent="0.2">
      <c r="A5" s="64" t="s">
        <v>55</v>
      </c>
    </row>
    <row r="6" spans="1:2" s="1" customFormat="1" x14ac:dyDescent="0.2"/>
    <row r="7" spans="1:2" s="1" customFormat="1" ht="15" x14ac:dyDescent="0.2">
      <c r="A7" s="65" t="s">
        <v>56</v>
      </c>
      <c r="B7" s="1" t="s">
        <v>57</v>
      </c>
    </row>
    <row r="8" spans="1:2" s="1" customFormat="1" ht="15" x14ac:dyDescent="0.2">
      <c r="A8" s="65" t="s">
        <v>58</v>
      </c>
      <c r="B8" s="1" t="s">
        <v>217</v>
      </c>
    </row>
    <row r="9" spans="1:2" s="1" customFormat="1" ht="15" x14ac:dyDescent="0.2">
      <c r="A9" s="66"/>
      <c r="B9" s="1" t="s">
        <v>59</v>
      </c>
    </row>
    <row r="10" spans="1:2" s="1" customFormat="1" ht="15" x14ac:dyDescent="0.2">
      <c r="A10" s="66"/>
      <c r="B10" s="10" t="s">
        <v>60</v>
      </c>
    </row>
    <row r="11" spans="1:2" s="1" customFormat="1" ht="15" x14ac:dyDescent="0.2">
      <c r="A11" s="66"/>
      <c r="B11" s="10" t="s">
        <v>61</v>
      </c>
    </row>
    <row r="12" spans="1:2" s="1" customFormat="1" ht="15" x14ac:dyDescent="0.2">
      <c r="A12" s="65" t="s">
        <v>62</v>
      </c>
      <c r="B12" s="1" t="s">
        <v>218</v>
      </c>
    </row>
    <row r="13" spans="1:2" s="1" customFormat="1" x14ac:dyDescent="0.2">
      <c r="B13" s="1" t="s">
        <v>59</v>
      </c>
    </row>
    <row r="14" spans="1:2" s="1" customFormat="1" x14ac:dyDescent="0.2">
      <c r="B14" s="10" t="s">
        <v>60</v>
      </c>
    </row>
    <row r="15" spans="1:2" s="1" customFormat="1" x14ac:dyDescent="0.2">
      <c r="B15" s="10" t="s">
        <v>61</v>
      </c>
    </row>
    <row r="16" spans="1:2" s="1" customFormat="1" x14ac:dyDescent="0.2">
      <c r="B16" s="10"/>
    </row>
    <row r="17" spans="1:14" s="1" customFormat="1" x14ac:dyDescent="0.2">
      <c r="B17" s="10"/>
    </row>
    <row r="18" spans="1:14" x14ac:dyDescent="0.2">
      <c r="F18" s="69" t="s">
        <v>63</v>
      </c>
      <c r="J18" s="70"/>
    </row>
    <row r="19" spans="1:14" x14ac:dyDescent="0.2">
      <c r="A19" s="69" t="s">
        <v>64</v>
      </c>
      <c r="D19" s="337">
        <f>+'Tabel 2021 52 weken incl. 27,5 '!D19</f>
        <v>8.17</v>
      </c>
      <c r="F19" s="250">
        <f>IF(F28-D19&gt;0,F28-D19,0)</f>
        <v>0.1899999999999995</v>
      </c>
      <c r="L19" s="71"/>
      <c r="N19" s="69"/>
    </row>
    <row r="20" spans="1:14" x14ac:dyDescent="0.2">
      <c r="A20" s="69" t="s">
        <v>65</v>
      </c>
      <c r="D20" s="337">
        <f>+'Tabel 2021 52 weken incl. 27,5 '!D20</f>
        <v>7.02</v>
      </c>
      <c r="F20" s="250">
        <f>IF(H28-D20&gt;0,H28-D20,0)</f>
        <v>0.25</v>
      </c>
      <c r="N20" s="69"/>
    </row>
    <row r="21" spans="1:14" x14ac:dyDescent="0.2">
      <c r="A21" s="69"/>
      <c r="D21" s="69"/>
      <c r="N21" s="69"/>
    </row>
    <row r="22" spans="1:14" x14ac:dyDescent="0.2">
      <c r="A22" s="69"/>
      <c r="D22" s="69"/>
      <c r="N22" s="69"/>
    </row>
    <row r="23" spans="1:14" x14ac:dyDescent="0.2">
      <c r="A23" s="69"/>
      <c r="D23" s="69"/>
      <c r="N23" s="69"/>
    </row>
    <row r="24" spans="1:14" ht="15" x14ac:dyDescent="0.2">
      <c r="A24" s="348" t="s">
        <v>66</v>
      </c>
      <c r="B24" s="348"/>
      <c r="D24" s="349" t="s">
        <v>67</v>
      </c>
      <c r="E24" s="349"/>
      <c r="F24" s="349"/>
      <c r="G24" s="349"/>
      <c r="H24" s="349"/>
      <c r="I24" s="72"/>
      <c r="J24" s="350" t="s">
        <v>68</v>
      </c>
      <c r="K24" s="350"/>
      <c r="L24" s="350"/>
      <c r="M24" s="350"/>
      <c r="N24" s="350"/>
    </row>
    <row r="25" spans="1:14" x14ac:dyDescent="0.2">
      <c r="A25" s="264" t="s">
        <v>69</v>
      </c>
      <c r="B25" s="264"/>
      <c r="D25" s="251" t="s">
        <v>70</v>
      </c>
      <c r="E25" s="74"/>
      <c r="F25" s="75"/>
      <c r="G25" s="74"/>
      <c r="H25" s="75"/>
      <c r="J25" s="252" t="s">
        <v>70</v>
      </c>
      <c r="K25" s="76"/>
      <c r="L25" s="76"/>
      <c r="M25" s="76"/>
      <c r="N25" s="76"/>
    </row>
    <row r="26" spans="1:14" ht="24" x14ac:dyDescent="0.2">
      <c r="A26" s="264" t="s">
        <v>71</v>
      </c>
      <c r="B26" s="264"/>
      <c r="D26" s="251" t="s">
        <v>72</v>
      </c>
      <c r="E26" s="74"/>
      <c r="F26" s="77" t="s">
        <v>73</v>
      </c>
      <c r="G26" s="78"/>
      <c r="H26" s="77" t="s">
        <v>74</v>
      </c>
      <c r="J26" s="252" t="s">
        <v>72</v>
      </c>
      <c r="K26" s="76"/>
      <c r="L26" s="79" t="s">
        <v>75</v>
      </c>
      <c r="M26" s="76"/>
      <c r="N26" s="79" t="s">
        <v>76</v>
      </c>
    </row>
    <row r="27" spans="1:14" ht="24" x14ac:dyDescent="0.2">
      <c r="A27" s="264" t="s">
        <v>219</v>
      </c>
      <c r="B27" s="265">
        <f>18485/18176</f>
        <v>1.017000440140845</v>
      </c>
      <c r="D27" s="80"/>
      <c r="E27" s="74"/>
      <c r="F27" s="81" t="s">
        <v>77</v>
      </c>
      <c r="G27" s="82"/>
      <c r="H27" s="81" t="s">
        <v>78</v>
      </c>
      <c r="J27" s="83"/>
      <c r="K27" s="76"/>
      <c r="L27" s="84" t="s">
        <v>77</v>
      </c>
      <c r="M27" s="85"/>
      <c r="N27" s="84" t="s">
        <v>78</v>
      </c>
    </row>
    <row r="28" spans="1:14" x14ac:dyDescent="0.2">
      <c r="A28" s="264"/>
      <c r="B28" s="264"/>
      <c r="D28" s="80"/>
      <c r="E28" s="74"/>
      <c r="F28" s="249">
        <v>8.36</v>
      </c>
      <c r="G28" s="82"/>
      <c r="H28" s="249">
        <v>7.27</v>
      </c>
      <c r="I28" t="s">
        <v>223</v>
      </c>
      <c r="J28" s="83"/>
      <c r="K28" s="76"/>
      <c r="L28" s="86">
        <f>F28</f>
        <v>8.36</v>
      </c>
      <c r="M28" s="76"/>
      <c r="N28" s="86">
        <f>H28</f>
        <v>7.27</v>
      </c>
    </row>
    <row r="29" spans="1:14" ht="13.5" thickBot="1" x14ac:dyDescent="0.25">
      <c r="A29" s="264"/>
      <c r="B29" s="264"/>
      <c r="D29" s="80"/>
      <c r="E29" s="74"/>
      <c r="F29" s="75"/>
      <c r="G29" s="74"/>
      <c r="H29" s="266"/>
      <c r="J29" s="83"/>
      <c r="K29" s="76"/>
      <c r="L29" s="76"/>
      <c r="M29" s="76"/>
      <c r="N29" s="76"/>
    </row>
    <row r="30" spans="1:14" x14ac:dyDescent="0.2">
      <c r="A30" s="264" t="s">
        <v>79</v>
      </c>
      <c r="B30" s="264" t="s">
        <v>80</v>
      </c>
      <c r="C30" s="1"/>
      <c r="D30" s="254" t="s">
        <v>81</v>
      </c>
      <c r="E30" s="88"/>
      <c r="F30" s="89" t="s">
        <v>82</v>
      </c>
      <c r="G30" s="88"/>
      <c r="H30" s="89" t="s">
        <v>82</v>
      </c>
      <c r="J30" s="255" t="s">
        <v>83</v>
      </c>
      <c r="K30" s="76"/>
      <c r="L30" s="90" t="s">
        <v>82</v>
      </c>
      <c r="M30" s="76"/>
      <c r="N30" s="90" t="s">
        <v>82</v>
      </c>
    </row>
    <row r="31" spans="1:14" ht="13.5" thickBot="1" x14ac:dyDescent="0.25">
      <c r="A31" s="264"/>
      <c r="B31" s="264"/>
      <c r="C31" s="1"/>
      <c r="D31" s="256" t="s">
        <v>84</v>
      </c>
      <c r="E31" s="88"/>
      <c r="F31" s="92" t="s">
        <v>85</v>
      </c>
      <c r="G31" s="88"/>
      <c r="H31" s="92" t="s">
        <v>85</v>
      </c>
      <c r="J31" s="257" t="s">
        <v>86</v>
      </c>
      <c r="K31" s="76"/>
      <c r="L31" s="93" t="s">
        <v>85</v>
      </c>
      <c r="M31" s="76"/>
      <c r="N31" s="93" t="s">
        <v>85</v>
      </c>
    </row>
    <row r="32" spans="1:14" x14ac:dyDescent="0.2">
      <c r="A32" s="264"/>
      <c r="B32" s="264"/>
      <c r="D32" s="80"/>
      <c r="E32" s="74"/>
      <c r="F32" s="75"/>
      <c r="G32" s="74"/>
      <c r="H32" s="75"/>
      <c r="J32" s="83"/>
      <c r="K32" s="76"/>
      <c r="L32" s="76"/>
      <c r="M32" s="76"/>
      <c r="N32" s="76"/>
    </row>
    <row r="33" spans="1:23" ht="15" x14ac:dyDescent="0.2">
      <c r="A33" s="191" t="str">
        <f>+'Tabel 2021 52 weken incl. 27,5 '!A33</f>
        <v>lager dan</v>
      </c>
      <c r="B33" s="191">
        <f>+'Tabel 2021 52 weken incl. 27,5 '!B33</f>
        <v>20302</v>
      </c>
      <c r="C33" s="1"/>
      <c r="D33" s="136">
        <f>+'Tabel 2021 52 weken incl. 27,5 '!D33</f>
        <v>0.96</v>
      </c>
      <c r="E33" s="134"/>
      <c r="F33" s="95">
        <f>IF($D$19&gt;=$F$28,($F$28*(100%-D33))+($F$19),$D$19*(100%-D33)+$F$19)</f>
        <v>0.51679999999999982</v>
      </c>
      <c r="G33" s="94"/>
      <c r="H33" s="95">
        <f>IF($D$20&gt;=$H$28,($H$28*(100%-D33))+($F$20),$D$20*(100%-D33)+($F$20))</f>
        <v>0.53080000000000016</v>
      </c>
      <c r="I33" s="1"/>
      <c r="J33" s="137">
        <f>+'Tabel 2021 52 weken incl. 27,5 '!J33</f>
        <v>0.96</v>
      </c>
      <c r="K33" s="135"/>
      <c r="L33" s="97">
        <f>IF($D$19&gt;=$L$28,($L$28*(100%-J33))+(F$19),$D$19*(100%-J33)+$F$19)</f>
        <v>0.51679999999999982</v>
      </c>
      <c r="M33" s="96"/>
      <c r="N33" s="97">
        <f>IF($D$20&gt;=$H$28,($H$28*(100%-J33))+($F$20),$D$20*(100%-J33)+($F$20))</f>
        <v>0.53080000000000016</v>
      </c>
      <c r="P33" s="258"/>
    </row>
    <row r="34" spans="1:23" ht="15" x14ac:dyDescent="0.2">
      <c r="A34" s="191">
        <f>+'Tabel 2021 52 weken incl. 27,5 '!A34</f>
        <v>20303</v>
      </c>
      <c r="B34" s="191">
        <f>+'Tabel 2021 52 weken incl. 27,5 '!B34</f>
        <v>21654</v>
      </c>
      <c r="C34" s="1"/>
      <c r="D34" s="136">
        <f>+'Tabel 2021 52 weken incl. 27,5 '!D34</f>
        <v>0.96</v>
      </c>
      <c r="E34" s="134"/>
      <c r="F34" s="95">
        <f t="shared" ref="F34:F97" si="0">IF($D$19&gt;=$F$28,($F$28*(100%-D34))+($F$19),$D$19*(100%-D34)+$F$19)</f>
        <v>0.51679999999999982</v>
      </c>
      <c r="G34" s="94"/>
      <c r="H34" s="95">
        <f t="shared" ref="H34:H97" si="1">IF($D$20&gt;=$H$28,($H$28*(100%-D34))+($F$20),$D$20*(100%-D34)+($F$20))</f>
        <v>0.53080000000000016</v>
      </c>
      <c r="I34" s="1"/>
      <c r="J34" s="137">
        <f>+'Tabel 2021 52 weken incl. 27,5 '!J34</f>
        <v>0.96</v>
      </c>
      <c r="K34" s="135"/>
      <c r="L34" s="97">
        <f t="shared" ref="L34:L97" si="2">IF($D$19&gt;=$L$28,($L$28*(100%-J34))+(F$19),$D$19*(100%-J34)+$F$19)</f>
        <v>0.51679999999999982</v>
      </c>
      <c r="M34" s="96"/>
      <c r="N34" s="97">
        <f t="shared" ref="N34:N97" si="3">IF($D$20&gt;=$H$28,($H$28*(100%-J34))+($F$20),$D$20*(100%-J34)+($F$20))</f>
        <v>0.53080000000000016</v>
      </c>
    </row>
    <row r="35" spans="1:23" ht="15" x14ac:dyDescent="0.2">
      <c r="A35" s="191">
        <f>+'Tabel 2021 52 weken incl. 27,5 '!A35</f>
        <v>21655</v>
      </c>
      <c r="B35" s="191">
        <f>+'Tabel 2021 52 weken incl. 27,5 '!B35</f>
        <v>23004</v>
      </c>
      <c r="C35" s="1"/>
      <c r="D35" s="136">
        <f>+'Tabel 2021 52 weken incl. 27,5 '!D35</f>
        <v>0.96</v>
      </c>
      <c r="E35" s="134"/>
      <c r="F35" s="95">
        <f t="shared" si="0"/>
        <v>0.51679999999999982</v>
      </c>
      <c r="G35" s="94"/>
      <c r="H35" s="95">
        <f t="shared" si="1"/>
        <v>0.53080000000000016</v>
      </c>
      <c r="I35" s="1"/>
      <c r="J35" s="137">
        <f>+'Tabel 2021 52 weken incl. 27,5 '!J35</f>
        <v>0.96</v>
      </c>
      <c r="K35" s="135"/>
      <c r="L35" s="97">
        <f t="shared" si="2"/>
        <v>0.51679999999999982</v>
      </c>
      <c r="M35" s="96"/>
      <c r="N35" s="97">
        <f t="shared" si="3"/>
        <v>0.53080000000000016</v>
      </c>
      <c r="R35" s="98"/>
    </row>
    <row r="36" spans="1:23" ht="15" x14ac:dyDescent="0.2">
      <c r="A36" s="191">
        <f>+'Tabel 2021 52 weken incl. 27,5 '!A36</f>
        <v>23005</v>
      </c>
      <c r="B36" s="191">
        <f>+'Tabel 2021 52 weken incl. 27,5 '!B36</f>
        <v>24357</v>
      </c>
      <c r="C36" s="1"/>
      <c r="D36" s="136">
        <f>+'Tabel 2021 52 weken incl. 27,5 '!D36</f>
        <v>0.96</v>
      </c>
      <c r="E36" s="134"/>
      <c r="F36" s="95">
        <f t="shared" si="0"/>
        <v>0.51679999999999982</v>
      </c>
      <c r="G36" s="94"/>
      <c r="H36" s="95">
        <f t="shared" si="1"/>
        <v>0.53080000000000016</v>
      </c>
      <c r="I36" s="1"/>
      <c r="J36" s="137">
        <f>+'Tabel 2021 52 weken incl. 27,5 '!J36</f>
        <v>0.96</v>
      </c>
      <c r="K36" s="135"/>
      <c r="L36" s="97">
        <f t="shared" si="2"/>
        <v>0.51679999999999982</v>
      </c>
      <c r="M36" s="96"/>
      <c r="N36" s="97">
        <f t="shared" si="3"/>
        <v>0.53080000000000016</v>
      </c>
    </row>
    <row r="37" spans="1:23" ht="15" x14ac:dyDescent="0.2">
      <c r="A37" s="191">
        <f>+'Tabel 2021 52 weken incl. 27,5 '!A37</f>
        <v>24358</v>
      </c>
      <c r="B37" s="191">
        <f>+'Tabel 2021 52 weken incl. 27,5 '!B37</f>
        <v>25709</v>
      </c>
      <c r="C37" s="1"/>
      <c r="D37" s="136">
        <f>+'Tabel 2021 52 weken incl. 27,5 '!D37</f>
        <v>0.96</v>
      </c>
      <c r="E37" s="134"/>
      <c r="F37" s="95">
        <f t="shared" si="0"/>
        <v>0.51679999999999982</v>
      </c>
      <c r="G37" s="94"/>
      <c r="H37" s="95">
        <f t="shared" si="1"/>
        <v>0.53080000000000016</v>
      </c>
      <c r="I37" s="1"/>
      <c r="J37" s="137">
        <f>+'Tabel 2021 52 weken incl. 27,5 '!J37</f>
        <v>0.96</v>
      </c>
      <c r="K37" s="135"/>
      <c r="L37" s="97">
        <f t="shared" si="2"/>
        <v>0.51679999999999982</v>
      </c>
      <c r="M37" s="96"/>
      <c r="N37" s="97">
        <f t="shared" si="3"/>
        <v>0.53080000000000016</v>
      </c>
    </row>
    <row r="38" spans="1:23" ht="15" x14ac:dyDescent="0.2">
      <c r="A38" s="191">
        <f>+'Tabel 2021 52 weken incl. 27,5 '!A38</f>
        <v>25710</v>
      </c>
      <c r="B38" s="191">
        <f>+'Tabel 2021 52 weken incl. 27,5 '!B38</f>
        <v>27061</v>
      </c>
      <c r="C38" s="1"/>
      <c r="D38" s="136">
        <f>+'Tabel 2021 52 weken incl. 27,5 '!D38</f>
        <v>0.95599999999999996</v>
      </c>
      <c r="E38" s="134"/>
      <c r="F38" s="95">
        <f t="shared" si="0"/>
        <v>0.54947999999999975</v>
      </c>
      <c r="G38" s="94"/>
      <c r="H38" s="95">
        <f t="shared" si="1"/>
        <v>0.55888000000000027</v>
      </c>
      <c r="I38" s="1"/>
      <c r="J38" s="137">
        <f>+'Tabel 2021 52 weken incl. 27,5 '!J38</f>
        <v>0.95699999999999996</v>
      </c>
      <c r="K38" s="135"/>
      <c r="L38" s="97">
        <f t="shared" si="2"/>
        <v>0.54130999999999974</v>
      </c>
      <c r="M38" s="96"/>
      <c r="N38" s="97">
        <f t="shared" si="3"/>
        <v>0.55186000000000024</v>
      </c>
    </row>
    <row r="39" spans="1:23" ht="15" x14ac:dyDescent="0.2">
      <c r="A39" s="191">
        <f>+'Tabel 2021 52 weken incl. 27,5 '!A39</f>
        <v>27062</v>
      </c>
      <c r="B39" s="191">
        <f>+'Tabel 2021 52 weken incl. 27,5 '!B39</f>
        <v>28412</v>
      </c>
      <c r="C39" s="1"/>
      <c r="D39" s="136">
        <f>+'Tabel 2021 52 weken incl. 27,5 '!D39</f>
        <v>0.94499999999999995</v>
      </c>
      <c r="E39" s="134"/>
      <c r="F39" s="95">
        <f t="shared" si="0"/>
        <v>0.63934999999999986</v>
      </c>
      <c r="G39" s="94"/>
      <c r="H39" s="95">
        <f t="shared" si="1"/>
        <v>0.63610000000000033</v>
      </c>
      <c r="I39" s="1"/>
      <c r="J39" s="137">
        <f>+'Tabel 2021 52 weken incl. 27,5 '!J39</f>
        <v>0.95499999999999996</v>
      </c>
      <c r="K39" s="135"/>
      <c r="L39" s="97">
        <f t="shared" si="2"/>
        <v>0.55764999999999976</v>
      </c>
      <c r="M39" s="96"/>
      <c r="N39" s="97">
        <f t="shared" si="3"/>
        <v>0.56590000000000029</v>
      </c>
    </row>
    <row r="40" spans="1:23" ht="15" x14ac:dyDescent="0.2">
      <c r="A40" s="191">
        <f>+'Tabel 2021 52 weken incl. 27,5 '!A40</f>
        <v>28413</v>
      </c>
      <c r="B40" s="191">
        <f>+'Tabel 2021 52 weken incl. 27,5 '!B40</f>
        <v>29760</v>
      </c>
      <c r="C40" s="1"/>
      <c r="D40" s="136">
        <f>+'Tabel 2021 52 weken incl. 27,5 '!D40</f>
        <v>0.93500000000000005</v>
      </c>
      <c r="E40" s="134"/>
      <c r="F40" s="95">
        <f t="shared" si="0"/>
        <v>0.72104999999999908</v>
      </c>
      <c r="G40" s="94"/>
      <c r="H40" s="95">
        <f t="shared" si="1"/>
        <v>0.70629999999999959</v>
      </c>
      <c r="I40" s="1"/>
      <c r="J40" s="137">
        <f>+'Tabel 2021 52 weken incl. 27,5 '!J40</f>
        <v>0.95299999999999996</v>
      </c>
      <c r="K40" s="135"/>
      <c r="L40" s="97">
        <f t="shared" si="2"/>
        <v>0.57398999999999978</v>
      </c>
      <c r="M40" s="96"/>
      <c r="N40" s="97">
        <f t="shared" si="3"/>
        <v>0.57994000000000034</v>
      </c>
    </row>
    <row r="41" spans="1:23" ht="15" x14ac:dyDescent="0.2">
      <c r="A41" s="191">
        <f>+'Tabel 2021 52 weken incl. 27,5 '!A41</f>
        <v>29761</v>
      </c>
      <c r="B41" s="191">
        <f>+'Tabel 2021 52 weken incl. 27,5 '!B41</f>
        <v>31214</v>
      </c>
      <c r="C41" s="1"/>
      <c r="D41" s="136">
        <f>+'Tabel 2021 52 weken incl. 27,5 '!D41</f>
        <v>0.92600000000000005</v>
      </c>
      <c r="E41" s="134"/>
      <c r="F41" s="95">
        <f t="shared" si="0"/>
        <v>0.79457999999999918</v>
      </c>
      <c r="G41" s="94"/>
      <c r="H41" s="95">
        <f t="shared" si="1"/>
        <v>0.76947999999999961</v>
      </c>
      <c r="I41" s="1"/>
      <c r="J41" s="137">
        <f>+'Tabel 2021 52 weken incl. 27,5 '!J41</f>
        <v>0.95099999999999996</v>
      </c>
      <c r="K41" s="135"/>
      <c r="L41" s="97">
        <f t="shared" si="2"/>
        <v>0.5903299999999998</v>
      </c>
      <c r="M41" s="96"/>
      <c r="N41" s="97">
        <f t="shared" si="3"/>
        <v>0.59398000000000029</v>
      </c>
    </row>
    <row r="42" spans="1:23" ht="15" x14ac:dyDescent="0.2">
      <c r="A42" s="191">
        <f>+'Tabel 2021 52 weken incl. 27,5 '!A42</f>
        <v>31215</v>
      </c>
      <c r="B42" s="191">
        <f>+'Tabel 2021 52 weken incl. 27,5 '!B42</f>
        <v>32666</v>
      </c>
      <c r="C42" s="1"/>
      <c r="D42" s="136">
        <f>+'Tabel 2021 52 weken incl. 27,5 '!D42</f>
        <v>0.92</v>
      </c>
      <c r="E42" s="134"/>
      <c r="F42" s="95">
        <f t="shared" si="0"/>
        <v>0.84359999999999913</v>
      </c>
      <c r="G42" s="94"/>
      <c r="H42" s="95">
        <f t="shared" si="1"/>
        <v>0.81159999999999966</v>
      </c>
      <c r="I42" s="1"/>
      <c r="J42" s="137">
        <f>+'Tabel 2021 52 weken incl. 27,5 '!J42</f>
        <v>0.95</v>
      </c>
      <c r="K42" s="135"/>
      <c r="L42" s="97">
        <f t="shared" si="2"/>
        <v>0.59849999999999981</v>
      </c>
      <c r="M42" s="96"/>
      <c r="N42" s="97">
        <f t="shared" si="3"/>
        <v>0.60100000000000031</v>
      </c>
    </row>
    <row r="43" spans="1:23" ht="15" x14ac:dyDescent="0.2">
      <c r="A43" s="191">
        <f>+'Tabel 2021 52 weken incl. 27,5 '!A43</f>
        <v>32668</v>
      </c>
      <c r="B43" s="191">
        <f>+'Tabel 2021 52 weken incl. 27,5 '!B43</f>
        <v>34122</v>
      </c>
      <c r="C43" s="1"/>
      <c r="D43" s="136">
        <f>+'Tabel 2021 52 weken incl. 27,5 '!D43</f>
        <v>0.91</v>
      </c>
      <c r="E43" s="134"/>
      <c r="F43" s="95">
        <f t="shared" si="0"/>
        <v>0.92529999999999923</v>
      </c>
      <c r="G43" s="94"/>
      <c r="H43" s="95">
        <f t="shared" si="1"/>
        <v>0.8817999999999997</v>
      </c>
      <c r="I43" s="1"/>
      <c r="J43" s="137">
        <f>+'Tabel 2021 52 weken incl. 27,5 '!J43</f>
        <v>0.94799999999999995</v>
      </c>
      <c r="K43" s="135"/>
      <c r="L43" s="97">
        <f t="shared" si="2"/>
        <v>0.61483999999999983</v>
      </c>
      <c r="M43" s="96"/>
      <c r="N43" s="97">
        <f t="shared" si="3"/>
        <v>0.61504000000000025</v>
      </c>
    </row>
    <row r="44" spans="1:23" ht="15" x14ac:dyDescent="0.2">
      <c r="A44" s="191">
        <f>+'Tabel 2021 52 weken incl. 27,5 '!A44</f>
        <v>34123</v>
      </c>
      <c r="B44" s="191">
        <f>+'Tabel 2021 52 weken incl. 27,5 '!B44</f>
        <v>35574</v>
      </c>
      <c r="C44" s="1"/>
      <c r="D44" s="136">
        <f>+'Tabel 2021 52 weken incl. 27,5 '!D44</f>
        <v>0.90500000000000003</v>
      </c>
      <c r="E44" s="134"/>
      <c r="F44" s="95">
        <f t="shared" si="0"/>
        <v>0.96614999999999929</v>
      </c>
      <c r="G44" s="94"/>
      <c r="H44" s="95">
        <f t="shared" si="1"/>
        <v>0.91689999999999983</v>
      </c>
      <c r="I44" s="1"/>
      <c r="J44" s="137">
        <f>+'Tabel 2021 52 weken incl. 27,5 '!J44</f>
        <v>0.94599999999999995</v>
      </c>
      <c r="K44" s="135"/>
      <c r="L44" s="97">
        <f t="shared" si="2"/>
        <v>0.63117999999999985</v>
      </c>
      <c r="M44" s="96"/>
      <c r="N44" s="97">
        <f t="shared" si="3"/>
        <v>0.62908000000000031</v>
      </c>
    </row>
    <row r="45" spans="1:23" ht="15" x14ac:dyDescent="0.2">
      <c r="A45" s="191">
        <f>+'Tabel 2021 52 weken incl. 27,5 '!A45</f>
        <v>35575</v>
      </c>
      <c r="B45" s="191">
        <f>+'Tabel 2021 52 weken incl. 27,5 '!B45</f>
        <v>37031</v>
      </c>
      <c r="C45" s="1"/>
      <c r="D45" s="136">
        <f>+'Tabel 2021 52 weken incl. 27,5 '!D45</f>
        <v>0.89700000000000002</v>
      </c>
      <c r="E45" s="134"/>
      <c r="F45" s="95">
        <f t="shared" si="0"/>
        <v>1.0315099999999995</v>
      </c>
      <c r="G45" s="94"/>
      <c r="H45" s="95">
        <f t="shared" si="1"/>
        <v>0.97305999999999981</v>
      </c>
      <c r="I45" s="1"/>
      <c r="J45" s="137">
        <f>+'Tabel 2021 52 weken incl. 27,5 '!J45</f>
        <v>0.94599999999999995</v>
      </c>
      <c r="K45" s="135"/>
      <c r="L45" s="97">
        <f t="shared" si="2"/>
        <v>0.63117999999999985</v>
      </c>
      <c r="M45" s="96"/>
      <c r="N45" s="97">
        <f t="shared" si="3"/>
        <v>0.62908000000000031</v>
      </c>
    </row>
    <row r="46" spans="1:23" ht="15" x14ac:dyDescent="0.2">
      <c r="A46" s="191">
        <f>+'Tabel 2021 52 weken incl. 27,5 '!A46</f>
        <v>37032</v>
      </c>
      <c r="B46" s="191">
        <f>+'Tabel 2021 52 weken incl. 27,5 '!B46</f>
        <v>38484</v>
      </c>
      <c r="C46" s="1"/>
      <c r="D46" s="136">
        <f>+'Tabel 2021 52 weken incl. 27,5 '!D46</f>
        <v>0.88900000000000001</v>
      </c>
      <c r="E46" s="134"/>
      <c r="F46" s="95">
        <f t="shared" si="0"/>
        <v>1.0968699999999993</v>
      </c>
      <c r="G46" s="94"/>
      <c r="H46" s="95">
        <f t="shared" si="1"/>
        <v>1.02922</v>
      </c>
      <c r="I46" s="1"/>
      <c r="J46" s="137">
        <f>+'Tabel 2021 52 weken incl. 27,5 '!J46</f>
        <v>0.94599999999999995</v>
      </c>
      <c r="K46" s="135"/>
      <c r="L46" s="97">
        <f t="shared" si="2"/>
        <v>0.63117999999999985</v>
      </c>
      <c r="M46" s="96"/>
      <c r="N46" s="97">
        <f t="shared" si="3"/>
        <v>0.62908000000000031</v>
      </c>
      <c r="V46" s="99"/>
      <c r="W46" s="259"/>
    </row>
    <row r="47" spans="1:23" ht="15" x14ac:dyDescent="0.2">
      <c r="A47" s="191">
        <f>+'Tabel 2021 52 weken incl. 27,5 '!A47</f>
        <v>38485</v>
      </c>
      <c r="B47" s="191">
        <f>+'Tabel 2021 52 weken incl. 27,5 '!B47</f>
        <v>39972</v>
      </c>
      <c r="C47" s="1"/>
      <c r="D47" s="136">
        <f>+'Tabel 2021 52 weken incl. 27,5 '!D47</f>
        <v>0.88300000000000001</v>
      </c>
      <c r="E47" s="134"/>
      <c r="F47" s="95">
        <f t="shared" si="0"/>
        <v>1.1458899999999994</v>
      </c>
      <c r="G47" s="94"/>
      <c r="H47" s="95">
        <f t="shared" si="1"/>
        <v>1.0713399999999997</v>
      </c>
      <c r="I47" s="1"/>
      <c r="J47" s="137">
        <f>+'Tabel 2021 52 weken incl. 27,5 '!J47</f>
        <v>0.94599999999999995</v>
      </c>
      <c r="K47" s="135"/>
      <c r="L47" s="97">
        <f t="shared" si="2"/>
        <v>0.63117999999999985</v>
      </c>
      <c r="M47" s="96"/>
      <c r="N47" s="97">
        <f t="shared" si="3"/>
        <v>0.62908000000000031</v>
      </c>
      <c r="V47" s="99"/>
    </row>
    <row r="48" spans="1:23" ht="15" x14ac:dyDescent="0.2">
      <c r="A48" s="191">
        <f>+'Tabel 2021 52 weken incl. 27,5 '!A48</f>
        <v>39973</v>
      </c>
      <c r="B48" s="191">
        <f>+'Tabel 2021 52 weken incl. 27,5 '!B48</f>
        <v>41463</v>
      </c>
      <c r="C48" s="1"/>
      <c r="D48" s="136">
        <f>+'Tabel 2021 52 weken incl. 27,5 '!D48</f>
        <v>0.875</v>
      </c>
      <c r="E48" s="134"/>
      <c r="F48" s="95">
        <f t="shared" si="0"/>
        <v>1.2112499999999995</v>
      </c>
      <c r="G48" s="94"/>
      <c r="H48" s="95">
        <f t="shared" si="1"/>
        <v>1.1274999999999999</v>
      </c>
      <c r="I48" s="1"/>
      <c r="J48" s="137">
        <f>+'Tabel 2021 52 weken incl. 27,5 '!J48</f>
        <v>0.94599999999999995</v>
      </c>
      <c r="K48" s="135"/>
      <c r="L48" s="97">
        <f t="shared" si="2"/>
        <v>0.63117999999999985</v>
      </c>
      <c r="M48" s="96"/>
      <c r="N48" s="97">
        <f t="shared" si="3"/>
        <v>0.62908000000000031</v>
      </c>
      <c r="V48" s="99"/>
    </row>
    <row r="49" spans="1:14" ht="15" x14ac:dyDescent="0.2">
      <c r="A49" s="191">
        <f>+'Tabel 2021 52 weken incl. 27,5 '!A49</f>
        <v>41464</v>
      </c>
      <c r="B49" s="191">
        <f>+'Tabel 2021 52 weken incl. 27,5 '!B49</f>
        <v>42953</v>
      </c>
      <c r="C49" s="1"/>
      <c r="D49" s="136">
        <f>+'Tabel 2021 52 weken incl. 27,5 '!D49</f>
        <v>0.86799999999999999</v>
      </c>
      <c r="E49" s="134"/>
      <c r="F49" s="95">
        <f t="shared" si="0"/>
        <v>1.2684399999999996</v>
      </c>
      <c r="G49" s="94"/>
      <c r="H49" s="95">
        <f t="shared" si="1"/>
        <v>1.1766399999999999</v>
      </c>
      <c r="I49" s="1"/>
      <c r="J49" s="137">
        <f>+'Tabel 2021 52 weken incl. 27,5 '!J49</f>
        <v>0.94599999999999995</v>
      </c>
      <c r="K49" s="135"/>
      <c r="L49" s="97">
        <f t="shared" si="2"/>
        <v>0.63117999999999985</v>
      </c>
      <c r="M49" s="96"/>
      <c r="N49" s="97">
        <f t="shared" si="3"/>
        <v>0.62908000000000031</v>
      </c>
    </row>
    <row r="50" spans="1:14" ht="15" x14ac:dyDescent="0.2">
      <c r="A50" s="191">
        <f>+'Tabel 2021 52 weken incl. 27,5 '!A50</f>
        <v>42954</v>
      </c>
      <c r="B50" s="191">
        <f>+'Tabel 2021 52 weken incl. 27,5 '!B50</f>
        <v>44443</v>
      </c>
      <c r="C50" s="1"/>
      <c r="D50" s="136">
        <f>+'Tabel 2021 52 weken incl. 27,5 '!D50</f>
        <v>0.86099999999999999</v>
      </c>
      <c r="E50" s="134"/>
      <c r="F50" s="95">
        <f t="shared" si="0"/>
        <v>1.3256299999999996</v>
      </c>
      <c r="G50" s="94"/>
      <c r="H50" s="95">
        <f t="shared" si="1"/>
        <v>1.2257799999999999</v>
      </c>
      <c r="I50" s="1"/>
      <c r="J50" s="137">
        <f>+'Tabel 2021 52 weken incl. 27,5 '!J50</f>
        <v>0.94599999999999995</v>
      </c>
      <c r="K50" s="135"/>
      <c r="L50" s="97">
        <f t="shared" si="2"/>
        <v>0.63117999999999985</v>
      </c>
      <c r="M50" s="96"/>
      <c r="N50" s="97">
        <f t="shared" si="3"/>
        <v>0.62908000000000031</v>
      </c>
    </row>
    <row r="51" spans="1:14" ht="15" x14ac:dyDescent="0.2">
      <c r="A51" s="191">
        <f>+'Tabel 2021 52 weken incl. 27,5 '!A51</f>
        <v>44444</v>
      </c>
      <c r="B51" s="191">
        <f>+'Tabel 2021 52 weken incl. 27,5 '!B51</f>
        <v>45936</v>
      </c>
      <c r="C51" s="1"/>
      <c r="D51" s="136">
        <f>+'Tabel 2021 52 weken incl. 27,5 '!D51</f>
        <v>0.85199999999999998</v>
      </c>
      <c r="E51" s="134"/>
      <c r="F51" s="95">
        <f t="shared" si="0"/>
        <v>1.3991599999999997</v>
      </c>
      <c r="G51" s="94"/>
      <c r="H51" s="95">
        <f t="shared" si="1"/>
        <v>1.2889600000000001</v>
      </c>
      <c r="I51" s="1"/>
      <c r="J51" s="137">
        <f>+'Tabel 2021 52 weken incl. 27,5 '!J51</f>
        <v>0.94599999999999995</v>
      </c>
      <c r="K51" s="135"/>
      <c r="L51" s="97">
        <f t="shared" si="2"/>
        <v>0.63117999999999985</v>
      </c>
      <c r="M51" s="96"/>
      <c r="N51" s="97">
        <f t="shared" si="3"/>
        <v>0.62908000000000031</v>
      </c>
    </row>
    <row r="52" spans="1:14" ht="15" x14ac:dyDescent="0.2">
      <c r="A52" s="191">
        <f>+'Tabel 2021 52 weken incl. 27,5 '!A52</f>
        <v>45937</v>
      </c>
      <c r="B52" s="191">
        <f>+'Tabel 2021 52 weken incl. 27,5 '!B52</f>
        <v>47427</v>
      </c>
      <c r="C52" s="1"/>
      <c r="D52" s="136">
        <f>+'Tabel 2021 52 weken incl. 27,5 '!D52</f>
        <v>0.84699999999999998</v>
      </c>
      <c r="E52" s="134"/>
      <c r="F52" s="95">
        <f t="shared" si="0"/>
        <v>1.4400099999999998</v>
      </c>
      <c r="G52" s="94"/>
      <c r="H52" s="95">
        <f t="shared" si="1"/>
        <v>1.32406</v>
      </c>
      <c r="I52" s="1"/>
      <c r="J52" s="137">
        <f>+'Tabel 2021 52 weken incl. 27,5 '!J52</f>
        <v>0.94599999999999995</v>
      </c>
      <c r="K52" s="135"/>
      <c r="L52" s="97">
        <f t="shared" si="2"/>
        <v>0.63117999999999985</v>
      </c>
      <c r="M52" s="96"/>
      <c r="N52" s="97">
        <f t="shared" si="3"/>
        <v>0.62908000000000031</v>
      </c>
    </row>
    <row r="53" spans="1:14" ht="15" x14ac:dyDescent="0.2">
      <c r="A53" s="191">
        <f>+'Tabel 2021 52 weken incl. 27,5 '!A53</f>
        <v>47428</v>
      </c>
      <c r="B53" s="191">
        <f>+'Tabel 2021 52 weken incl. 27,5 '!B53</f>
        <v>48916</v>
      </c>
      <c r="C53" s="1"/>
      <c r="D53" s="136">
        <f>+'Tabel 2021 52 weken incl. 27,5 '!D53</f>
        <v>0.83899999999999997</v>
      </c>
      <c r="E53" s="134"/>
      <c r="F53" s="95">
        <f t="shared" si="0"/>
        <v>1.5053699999999997</v>
      </c>
      <c r="G53" s="94"/>
      <c r="H53" s="95">
        <f t="shared" si="1"/>
        <v>1.3802200000000002</v>
      </c>
      <c r="I53" s="1"/>
      <c r="J53" s="137">
        <f>+'Tabel 2021 52 weken incl. 27,5 '!J53</f>
        <v>0.94599999999999995</v>
      </c>
      <c r="K53" s="135"/>
      <c r="L53" s="97">
        <f t="shared" si="2"/>
        <v>0.63117999999999985</v>
      </c>
      <c r="M53" s="96"/>
      <c r="N53" s="97">
        <f t="shared" si="3"/>
        <v>0.62908000000000031</v>
      </c>
    </row>
    <row r="54" spans="1:14" ht="15" x14ac:dyDescent="0.2">
      <c r="A54" s="191">
        <f>+'Tabel 2021 52 weken incl. 27,5 '!A54</f>
        <v>48917</v>
      </c>
      <c r="B54" s="191">
        <f>+'Tabel 2021 52 weken incl. 27,5 '!B54</f>
        <v>50407</v>
      </c>
      <c r="C54" s="1"/>
      <c r="D54" s="136">
        <f>+'Tabel 2021 52 weken incl. 27,5 '!D54</f>
        <v>0.83299999999999996</v>
      </c>
      <c r="E54" s="134"/>
      <c r="F54" s="95">
        <f t="shared" si="0"/>
        <v>1.5543899999999997</v>
      </c>
      <c r="G54" s="94"/>
      <c r="H54" s="95">
        <f t="shared" si="1"/>
        <v>1.4223400000000002</v>
      </c>
      <c r="I54" s="1"/>
      <c r="J54" s="137">
        <f>+'Tabel 2021 52 weken incl. 27,5 '!J54</f>
        <v>0.94599999999999995</v>
      </c>
      <c r="K54" s="135"/>
      <c r="L54" s="97">
        <f t="shared" si="2"/>
        <v>0.63117999999999985</v>
      </c>
      <c r="M54" s="96"/>
      <c r="N54" s="97">
        <f t="shared" si="3"/>
        <v>0.62908000000000031</v>
      </c>
    </row>
    <row r="55" spans="1:14" ht="15" x14ac:dyDescent="0.2">
      <c r="A55" s="191">
        <f>+'Tabel 2021 52 weken incl. 27,5 '!A55</f>
        <v>50408</v>
      </c>
      <c r="B55" s="191">
        <f>+'Tabel 2021 52 weken incl. 27,5 '!B55</f>
        <v>52036</v>
      </c>
      <c r="C55" s="1"/>
      <c r="D55" s="136">
        <f>+'Tabel 2021 52 weken incl. 27,5 '!D55</f>
        <v>0.82399999999999995</v>
      </c>
      <c r="E55" s="134"/>
      <c r="F55" s="95">
        <f t="shared" si="0"/>
        <v>1.6279199999999998</v>
      </c>
      <c r="G55" s="94"/>
      <c r="H55" s="95">
        <f t="shared" si="1"/>
        <v>1.4855200000000002</v>
      </c>
      <c r="I55" s="1"/>
      <c r="J55" s="137">
        <f>+'Tabel 2021 52 weken incl. 27,5 '!J55</f>
        <v>0.94599999999999995</v>
      </c>
      <c r="K55" s="135"/>
      <c r="L55" s="97">
        <f t="shared" si="2"/>
        <v>0.63117999999999985</v>
      </c>
      <c r="M55" s="96"/>
      <c r="N55" s="97">
        <f t="shared" si="3"/>
        <v>0.62908000000000031</v>
      </c>
    </row>
    <row r="56" spans="1:14" ht="15" x14ac:dyDescent="0.2">
      <c r="A56" s="191">
        <f>+'Tabel 2021 52 weken incl. 27,5 '!A56</f>
        <v>52037</v>
      </c>
      <c r="B56" s="191">
        <f>+'Tabel 2021 52 weken incl. 27,5 '!B56</f>
        <v>55230</v>
      </c>
      <c r="C56" s="1"/>
      <c r="D56" s="136">
        <f>+'Tabel 2021 52 weken incl. 27,5 '!D56</f>
        <v>0.80900000000000005</v>
      </c>
      <c r="E56" s="134"/>
      <c r="F56" s="95">
        <f t="shared" si="0"/>
        <v>1.7504699999999991</v>
      </c>
      <c r="G56" s="94"/>
      <c r="H56" s="95">
        <f t="shared" si="1"/>
        <v>1.5908199999999995</v>
      </c>
      <c r="I56" s="1"/>
      <c r="J56" s="137">
        <f>+'Tabel 2021 52 weken incl. 27,5 '!J56</f>
        <v>0.94599999999999995</v>
      </c>
      <c r="K56" s="135"/>
      <c r="L56" s="97">
        <f t="shared" si="2"/>
        <v>0.63117999999999985</v>
      </c>
      <c r="M56" s="96"/>
      <c r="N56" s="97">
        <f t="shared" si="3"/>
        <v>0.62908000000000031</v>
      </c>
    </row>
    <row r="57" spans="1:14" ht="15" x14ac:dyDescent="0.2">
      <c r="A57" s="191">
        <f>+'Tabel 2021 52 weken incl. 27,5 '!A57</f>
        <v>55231</v>
      </c>
      <c r="B57" s="191">
        <f>+'Tabel 2021 52 weken incl. 27,5 '!B57</f>
        <v>58423</v>
      </c>
      <c r="C57" s="1"/>
      <c r="D57" s="136">
        <f>+'Tabel 2021 52 weken incl. 27,5 '!D57</f>
        <v>0.80100000000000005</v>
      </c>
      <c r="E57" s="134"/>
      <c r="F57" s="95">
        <f t="shared" si="0"/>
        <v>1.8158299999999992</v>
      </c>
      <c r="G57" s="94"/>
      <c r="H57" s="95">
        <f t="shared" si="1"/>
        <v>1.6469799999999997</v>
      </c>
      <c r="I57" s="1"/>
      <c r="J57" s="137">
        <f>+'Tabel 2021 52 weken incl. 27,5 '!J57</f>
        <v>0.94199999999999995</v>
      </c>
      <c r="K57" s="135"/>
      <c r="L57" s="97">
        <f t="shared" si="2"/>
        <v>0.66385999999999989</v>
      </c>
      <c r="M57" s="96"/>
      <c r="N57" s="97">
        <f t="shared" si="3"/>
        <v>0.65716000000000041</v>
      </c>
    </row>
    <row r="58" spans="1:14" ht="15" x14ac:dyDescent="0.2">
      <c r="A58" s="191">
        <f>+'Tabel 2021 52 weken incl. 27,5 '!A58</f>
        <v>58424</v>
      </c>
      <c r="B58" s="191">
        <f>+'Tabel 2021 52 weken incl. 27,5 '!B58</f>
        <v>61618</v>
      </c>
      <c r="C58" s="1"/>
      <c r="D58" s="136">
        <f>+'Tabel 2021 52 weken incl. 27,5 '!D58</f>
        <v>0.79</v>
      </c>
      <c r="E58" s="134"/>
      <c r="F58" s="95">
        <f t="shared" si="0"/>
        <v>1.9056999999999993</v>
      </c>
      <c r="G58" s="94"/>
      <c r="H58" s="95">
        <f t="shared" si="1"/>
        <v>1.7241999999999997</v>
      </c>
      <c r="I58" s="1"/>
      <c r="J58" s="137">
        <f>+'Tabel 2021 52 weken incl. 27,5 '!J58</f>
        <v>0.93600000000000005</v>
      </c>
      <c r="K58" s="135"/>
      <c r="L58" s="97">
        <f t="shared" si="2"/>
        <v>0.71287999999999907</v>
      </c>
      <c r="M58" s="96"/>
      <c r="N58" s="97">
        <f t="shared" si="3"/>
        <v>0.69927999999999957</v>
      </c>
    </row>
    <row r="59" spans="1:14" ht="15" x14ac:dyDescent="0.2">
      <c r="A59" s="191">
        <f>+'Tabel 2021 52 weken incl. 27,5 '!A59</f>
        <v>61619</v>
      </c>
      <c r="B59" s="191">
        <f>+'Tabel 2021 52 weken incl. 27,5 '!B59</f>
        <v>64813</v>
      </c>
      <c r="C59" s="1"/>
      <c r="D59" s="136">
        <f>+'Tabel 2021 52 weken incl. 27,5 '!D59</f>
        <v>0.76800000000000002</v>
      </c>
      <c r="E59" s="134"/>
      <c r="F59" s="95">
        <f t="shared" si="0"/>
        <v>2.0854399999999993</v>
      </c>
      <c r="G59" s="94"/>
      <c r="H59" s="95">
        <f t="shared" si="1"/>
        <v>1.8786399999999999</v>
      </c>
      <c r="I59" s="1"/>
      <c r="J59" s="137">
        <f>+'Tabel 2021 52 weken incl. 27,5 '!J59</f>
        <v>0.93200000000000005</v>
      </c>
      <c r="K59" s="135"/>
      <c r="L59" s="97">
        <f t="shared" si="2"/>
        <v>0.74555999999999911</v>
      </c>
      <c r="M59" s="96"/>
      <c r="N59" s="97">
        <f t="shared" si="3"/>
        <v>0.72735999999999956</v>
      </c>
    </row>
    <row r="60" spans="1:14" ht="15" x14ac:dyDescent="0.2">
      <c r="A60" s="191">
        <f>+'Tabel 2021 52 weken incl. 27,5 '!A60</f>
        <v>64814</v>
      </c>
      <c r="B60" s="191">
        <f>+'Tabel 2021 52 weken incl. 27,5 '!B60</f>
        <v>68006</v>
      </c>
      <c r="C60" s="1"/>
      <c r="D60" s="136">
        <f>+'Tabel 2021 52 weken incl. 27,5 '!D60</f>
        <v>0.745</v>
      </c>
      <c r="E60" s="134"/>
      <c r="F60" s="95">
        <f t="shared" si="0"/>
        <v>2.2733499999999993</v>
      </c>
      <c r="G60" s="94"/>
      <c r="H60" s="95">
        <f t="shared" si="1"/>
        <v>2.0400999999999998</v>
      </c>
      <c r="I60" s="1"/>
      <c r="J60" s="137">
        <f>+'Tabel 2021 52 weken incl. 27,5 '!J60</f>
        <v>0.92900000000000005</v>
      </c>
      <c r="K60" s="135"/>
      <c r="L60" s="97">
        <f t="shared" si="2"/>
        <v>0.77006999999999914</v>
      </c>
      <c r="M60" s="96"/>
      <c r="N60" s="97">
        <f t="shared" si="3"/>
        <v>0.74841999999999964</v>
      </c>
    </row>
    <row r="61" spans="1:14" ht="15" x14ac:dyDescent="0.2">
      <c r="A61" s="191">
        <f>+'Tabel 2021 52 weken incl. 27,5 '!A61</f>
        <v>68007</v>
      </c>
      <c r="B61" s="191">
        <f>+'Tabel 2021 52 weken incl. 27,5 '!B61</f>
        <v>71202</v>
      </c>
      <c r="C61" s="1"/>
      <c r="D61" s="136">
        <f>+'Tabel 2021 52 weken incl. 27,5 '!D61</f>
        <v>0.72299999999999998</v>
      </c>
      <c r="E61" s="134"/>
      <c r="F61" s="95">
        <f t="shared" si="0"/>
        <v>2.4530899999999995</v>
      </c>
      <c r="G61" s="94"/>
      <c r="H61" s="95">
        <f t="shared" si="1"/>
        <v>2.1945399999999999</v>
      </c>
      <c r="I61" s="1"/>
      <c r="J61" s="137">
        <f>+'Tabel 2021 52 weken incl. 27,5 '!J61</f>
        <v>0.92200000000000004</v>
      </c>
      <c r="K61" s="135"/>
      <c r="L61" s="97">
        <f t="shared" si="2"/>
        <v>0.82725999999999911</v>
      </c>
      <c r="M61" s="96"/>
      <c r="N61" s="97">
        <f t="shared" si="3"/>
        <v>0.79755999999999971</v>
      </c>
    </row>
    <row r="62" spans="1:14" ht="15" x14ac:dyDescent="0.2">
      <c r="A62" s="191">
        <f>+'Tabel 2021 52 weken incl. 27,5 '!A62</f>
        <v>71203</v>
      </c>
      <c r="B62" s="191">
        <f>+'Tabel 2021 52 weken incl. 27,5 '!B62</f>
        <v>74396</v>
      </c>
      <c r="C62" s="1"/>
      <c r="D62" s="136">
        <f>+'Tabel 2021 52 weken incl. 27,5 '!D62</f>
        <v>0.69899999999999995</v>
      </c>
      <c r="E62" s="134"/>
      <c r="F62" s="95">
        <f t="shared" si="0"/>
        <v>2.6491699999999998</v>
      </c>
      <c r="G62" s="94"/>
      <c r="H62" s="95">
        <f t="shared" si="1"/>
        <v>2.3630200000000001</v>
      </c>
      <c r="I62" s="1"/>
      <c r="J62" s="137">
        <f>+'Tabel 2021 52 weken incl. 27,5 '!J62</f>
        <v>0.91700000000000004</v>
      </c>
      <c r="K62" s="135"/>
      <c r="L62" s="97">
        <f t="shared" si="2"/>
        <v>0.86810999999999916</v>
      </c>
      <c r="M62" s="96"/>
      <c r="N62" s="97">
        <f t="shared" si="3"/>
        <v>0.83265999999999973</v>
      </c>
    </row>
    <row r="63" spans="1:14" ht="15" x14ac:dyDescent="0.2">
      <c r="A63" s="191">
        <f>+'Tabel 2021 52 weken incl. 27,5 '!A63</f>
        <v>74397</v>
      </c>
      <c r="B63" s="191">
        <f>+'Tabel 2021 52 weken incl. 27,5 '!B63</f>
        <v>77590</v>
      </c>
      <c r="C63" s="1"/>
      <c r="D63" s="136">
        <f>+'Tabel 2021 52 weken incl. 27,5 '!D63</f>
        <v>0.67600000000000005</v>
      </c>
      <c r="E63" s="134"/>
      <c r="F63" s="95">
        <f t="shared" si="0"/>
        <v>2.8370799999999989</v>
      </c>
      <c r="G63" s="94"/>
      <c r="H63" s="95">
        <f t="shared" si="1"/>
        <v>2.5244799999999996</v>
      </c>
      <c r="I63" s="1"/>
      <c r="J63" s="137">
        <f>+'Tabel 2021 52 weken incl. 27,5 '!J63</f>
        <v>0.91200000000000003</v>
      </c>
      <c r="K63" s="135"/>
      <c r="L63" s="97">
        <f t="shared" si="2"/>
        <v>0.90895999999999921</v>
      </c>
      <c r="M63" s="96"/>
      <c r="N63" s="97">
        <f t="shared" si="3"/>
        <v>0.86775999999999975</v>
      </c>
    </row>
    <row r="64" spans="1:14" ht="15" x14ac:dyDescent="0.2">
      <c r="A64" s="191">
        <f>+'Tabel 2021 52 weken incl. 27,5 '!A64</f>
        <v>77591</v>
      </c>
      <c r="B64" s="191">
        <f>+'Tabel 2021 52 weken incl. 27,5 '!B64</f>
        <v>80786</v>
      </c>
      <c r="C64" s="1"/>
      <c r="D64" s="136">
        <f>+'Tabel 2021 52 weken incl. 27,5 '!D64</f>
        <v>0.65400000000000003</v>
      </c>
      <c r="E64" s="134"/>
      <c r="F64" s="95">
        <f t="shared" si="0"/>
        <v>3.0168199999999992</v>
      </c>
      <c r="G64" s="94"/>
      <c r="H64" s="95">
        <f t="shared" si="1"/>
        <v>2.6789199999999997</v>
      </c>
      <c r="I64" s="1"/>
      <c r="J64" s="137">
        <f>+'Tabel 2021 52 weken incl. 27,5 '!J64</f>
        <v>0.90500000000000003</v>
      </c>
      <c r="K64" s="135"/>
      <c r="L64" s="97">
        <f t="shared" si="2"/>
        <v>0.96614999999999929</v>
      </c>
      <c r="M64" s="96"/>
      <c r="N64" s="97">
        <f t="shared" si="3"/>
        <v>0.91689999999999983</v>
      </c>
    </row>
    <row r="65" spans="1:15" ht="15" x14ac:dyDescent="0.2">
      <c r="A65" s="191">
        <f>+'Tabel 2021 52 weken incl. 27,5 '!A65</f>
        <v>80787</v>
      </c>
      <c r="B65" s="191">
        <f>+'Tabel 2021 52 weken incl. 27,5 '!B65</f>
        <v>83979</v>
      </c>
      <c r="C65" s="1"/>
      <c r="D65" s="136">
        <f>+'Tabel 2021 52 weken incl. 27,5 '!D65</f>
        <v>0.63100000000000001</v>
      </c>
      <c r="E65" s="134"/>
      <c r="F65" s="95">
        <f t="shared" si="0"/>
        <v>3.2047299999999996</v>
      </c>
      <c r="G65" s="94"/>
      <c r="H65" s="95">
        <f t="shared" si="1"/>
        <v>2.8403799999999997</v>
      </c>
      <c r="I65" s="1"/>
      <c r="J65" s="137">
        <f>+'Tabel 2021 52 weken incl. 27,5 '!J65</f>
        <v>0.9</v>
      </c>
      <c r="K65" s="135"/>
      <c r="L65" s="97">
        <f t="shared" si="2"/>
        <v>1.0069999999999992</v>
      </c>
      <c r="M65" s="96"/>
      <c r="N65" s="97">
        <f t="shared" si="3"/>
        <v>0.95199999999999985</v>
      </c>
    </row>
    <row r="66" spans="1:15" ht="15" x14ac:dyDescent="0.2">
      <c r="A66" s="191">
        <f>+'Tabel 2021 52 weken incl. 27,5 '!A66</f>
        <v>83980</v>
      </c>
      <c r="B66" s="191">
        <f>+'Tabel 2021 52 weken incl. 27,5 '!B66</f>
        <v>87176</v>
      </c>
      <c r="C66" s="1"/>
      <c r="D66" s="136">
        <f>+'Tabel 2021 52 weken incl. 27,5 '!D66</f>
        <v>0.60899999999999999</v>
      </c>
      <c r="E66" s="134"/>
      <c r="F66" s="95">
        <f t="shared" si="0"/>
        <v>3.3844699999999994</v>
      </c>
      <c r="G66" s="94"/>
      <c r="H66" s="95">
        <f t="shared" si="1"/>
        <v>2.9948199999999998</v>
      </c>
      <c r="I66" s="1"/>
      <c r="J66" s="137">
        <f>+'Tabel 2021 52 weken incl. 27,5 '!J66</f>
        <v>0.89600000000000002</v>
      </c>
      <c r="K66" s="135"/>
      <c r="L66" s="97">
        <f t="shared" si="2"/>
        <v>1.0396799999999993</v>
      </c>
      <c r="M66" s="96"/>
      <c r="N66" s="97">
        <f t="shared" si="3"/>
        <v>0.98007999999999984</v>
      </c>
    </row>
    <row r="67" spans="1:15" ht="15" x14ac:dyDescent="0.2">
      <c r="A67" s="191">
        <f>+'Tabel 2021 52 weken incl. 27,5 '!A67</f>
        <v>87177</v>
      </c>
      <c r="B67" s="191">
        <f>+'Tabel 2021 52 weken incl. 27,5 '!B67</f>
        <v>90370</v>
      </c>
      <c r="C67" s="1"/>
      <c r="D67" s="136">
        <f>+'Tabel 2021 52 weken incl. 27,5 '!D67</f>
        <v>0.58399999999999996</v>
      </c>
      <c r="E67" s="134"/>
      <c r="F67" s="95">
        <f t="shared" si="0"/>
        <v>3.5887199999999999</v>
      </c>
      <c r="G67" s="94"/>
      <c r="H67" s="95">
        <f t="shared" si="1"/>
        <v>3.1703200000000002</v>
      </c>
      <c r="I67" s="1"/>
      <c r="J67" s="137">
        <f>+'Tabel 2021 52 weken incl. 27,5 '!J67</f>
        <v>0.89300000000000002</v>
      </c>
      <c r="K67" s="135"/>
      <c r="L67" s="97">
        <f t="shared" si="2"/>
        <v>1.0641899999999995</v>
      </c>
      <c r="M67" s="96"/>
      <c r="N67" s="97">
        <f t="shared" si="3"/>
        <v>1.0011399999999999</v>
      </c>
    </row>
    <row r="68" spans="1:15" ht="15" x14ac:dyDescent="0.2">
      <c r="A68" s="191">
        <f>+'Tabel 2021 52 weken incl. 27,5 '!A68</f>
        <v>90371</v>
      </c>
      <c r="B68" s="191">
        <f>+'Tabel 2021 52 weken incl. 27,5 '!B68</f>
        <v>93562</v>
      </c>
      <c r="C68" s="1"/>
      <c r="D68" s="136">
        <f>+'Tabel 2021 52 weken incl. 27,5 '!D68</f>
        <v>0.56200000000000006</v>
      </c>
      <c r="E68" s="134"/>
      <c r="F68" s="95">
        <f t="shared" si="0"/>
        <v>3.7684599999999988</v>
      </c>
      <c r="G68" s="94"/>
      <c r="H68" s="95">
        <f t="shared" si="1"/>
        <v>3.3247599999999995</v>
      </c>
      <c r="I68" s="1"/>
      <c r="J68" s="137">
        <f>+'Tabel 2021 52 weken incl. 27,5 '!J68</f>
        <v>0.88600000000000001</v>
      </c>
      <c r="K68" s="135"/>
      <c r="L68" s="97">
        <f t="shared" si="2"/>
        <v>1.1213799999999994</v>
      </c>
      <c r="M68" s="96"/>
      <c r="N68" s="97">
        <f t="shared" si="3"/>
        <v>1.0502799999999999</v>
      </c>
    </row>
    <row r="69" spans="1:15" ht="15" x14ac:dyDescent="0.2">
      <c r="A69" s="191">
        <f>+'Tabel 2021 52 weken incl. 27,5 '!A69</f>
        <v>93563</v>
      </c>
      <c r="B69" s="191">
        <f>+'Tabel 2021 52 weken incl. 27,5 '!B69</f>
        <v>96757</v>
      </c>
      <c r="C69" s="1"/>
      <c r="D69" s="136">
        <f>+'Tabel 2021 52 weken incl. 27,5 '!D69</f>
        <v>0.54</v>
      </c>
      <c r="E69" s="134"/>
      <c r="F69" s="95">
        <f t="shared" si="0"/>
        <v>3.948199999999999</v>
      </c>
      <c r="G69" s="94"/>
      <c r="H69" s="95">
        <f t="shared" si="1"/>
        <v>3.4791999999999996</v>
      </c>
      <c r="I69" s="1"/>
      <c r="J69" s="137">
        <f>+'Tabel 2021 52 weken incl. 27,5 '!J69</f>
        <v>0.88200000000000001</v>
      </c>
      <c r="K69" s="135"/>
      <c r="L69" s="97">
        <f t="shared" si="2"/>
        <v>1.1540599999999994</v>
      </c>
      <c r="M69" s="96"/>
      <c r="N69" s="97">
        <f t="shared" si="3"/>
        <v>1.07836</v>
      </c>
    </row>
    <row r="70" spans="1:15" ht="15" x14ac:dyDescent="0.2">
      <c r="A70" s="191">
        <f>+'Tabel 2021 52 weken incl. 27,5 '!A70</f>
        <v>96758</v>
      </c>
      <c r="B70" s="191">
        <f>+'Tabel 2021 52 weken incl. 27,5 '!B70</f>
        <v>100015</v>
      </c>
      <c r="C70" s="1"/>
      <c r="D70" s="136">
        <f>+'Tabel 2021 52 weken incl. 27,5 '!D70</f>
        <v>0.51600000000000001</v>
      </c>
      <c r="E70" s="134"/>
      <c r="F70" s="95">
        <f t="shared" si="0"/>
        <v>4.1442799999999993</v>
      </c>
      <c r="G70" s="94"/>
      <c r="H70" s="95">
        <f t="shared" si="1"/>
        <v>3.6476799999999998</v>
      </c>
      <c r="I70" s="1"/>
      <c r="J70" s="137">
        <f>+'Tabel 2021 52 weken incl. 27,5 '!J70</f>
        <v>0.877</v>
      </c>
      <c r="K70" s="135"/>
      <c r="L70" s="97">
        <f t="shared" si="2"/>
        <v>1.1949099999999995</v>
      </c>
      <c r="M70" s="96"/>
      <c r="N70" s="97">
        <f t="shared" si="3"/>
        <v>1.1134599999999999</v>
      </c>
    </row>
    <row r="71" spans="1:15" ht="15" x14ac:dyDescent="0.2">
      <c r="A71" s="191">
        <f>+'Tabel 2021 52 weken incl. 27,5 '!A71</f>
        <v>100016</v>
      </c>
      <c r="B71" s="191">
        <f>+'Tabel 2021 52 weken incl. 27,5 '!B71</f>
        <v>103287</v>
      </c>
      <c r="C71" s="1"/>
      <c r="D71" s="136">
        <f>+'Tabel 2021 52 weken incl. 27,5 '!D71</f>
        <v>0.496</v>
      </c>
      <c r="E71" s="134"/>
      <c r="F71" s="95">
        <f t="shared" si="0"/>
        <v>4.3076799999999995</v>
      </c>
      <c r="G71" s="94"/>
      <c r="H71" s="95">
        <f t="shared" si="1"/>
        <v>3.7880799999999999</v>
      </c>
      <c r="I71" s="1"/>
      <c r="J71" s="137">
        <f>+'Tabel 2021 52 weken incl. 27,5 '!J71</f>
        <v>0.87</v>
      </c>
      <c r="K71" s="135"/>
      <c r="L71" s="97">
        <f t="shared" si="2"/>
        <v>1.2520999999999995</v>
      </c>
      <c r="M71" s="96"/>
      <c r="N71" s="97">
        <f t="shared" si="3"/>
        <v>1.1625999999999999</v>
      </c>
    </row>
    <row r="72" spans="1:15" ht="15" x14ac:dyDescent="0.2">
      <c r="A72" s="191">
        <f>+'Tabel 2021 52 weken incl. 27,5 '!A72</f>
        <v>103288</v>
      </c>
      <c r="B72" s="191">
        <f>+'Tabel 2021 52 weken incl. 27,5 '!B72</f>
        <v>106558</v>
      </c>
      <c r="C72" s="1"/>
      <c r="D72" s="136">
        <f>+'Tabel 2021 52 weken incl. 27,5 '!D72</f>
        <v>0.47499999999999998</v>
      </c>
      <c r="E72" s="134"/>
      <c r="F72" s="95">
        <f t="shared" si="0"/>
        <v>4.4792499999999995</v>
      </c>
      <c r="G72" s="94"/>
      <c r="H72" s="95">
        <f t="shared" si="1"/>
        <v>3.9354999999999998</v>
      </c>
      <c r="I72" s="1"/>
      <c r="J72" s="137">
        <f>+'Tabel 2021 52 weken incl. 27,5 '!J72</f>
        <v>0.86499999999999999</v>
      </c>
      <c r="K72" s="135"/>
      <c r="L72" s="97">
        <f t="shared" si="2"/>
        <v>1.2929499999999996</v>
      </c>
      <c r="M72" s="96"/>
      <c r="N72" s="97">
        <f t="shared" si="3"/>
        <v>1.1977</v>
      </c>
    </row>
    <row r="73" spans="1:15" ht="15" x14ac:dyDescent="0.2">
      <c r="A73" s="191">
        <f>+'Tabel 2021 52 weken incl. 27,5 '!A73</f>
        <v>106559</v>
      </c>
      <c r="B73" s="191">
        <f>+'Tabel 2021 52 weken incl. 27,5 '!B73</f>
        <v>109829</v>
      </c>
      <c r="C73" s="1"/>
      <c r="D73" s="136">
        <f>+'Tabel 2021 52 weken incl. 27,5 '!D73</f>
        <v>0.45400000000000001</v>
      </c>
      <c r="E73" s="134"/>
      <c r="F73" s="95">
        <f t="shared" si="0"/>
        <v>4.6508199999999995</v>
      </c>
      <c r="G73" s="94"/>
      <c r="H73" s="95">
        <f t="shared" si="1"/>
        <v>4.0829199999999997</v>
      </c>
      <c r="I73" s="1"/>
      <c r="J73" s="137">
        <f>+'Tabel 2021 52 weken incl. 27,5 '!J73</f>
        <v>0.86099999999999999</v>
      </c>
      <c r="K73" s="135"/>
      <c r="L73" s="97">
        <f t="shared" si="2"/>
        <v>1.3256299999999996</v>
      </c>
      <c r="M73" s="96"/>
      <c r="N73" s="97">
        <f t="shared" si="3"/>
        <v>1.2257799999999999</v>
      </c>
    </row>
    <row r="74" spans="1:15" ht="15" x14ac:dyDescent="0.2">
      <c r="A74" s="191">
        <f>+'Tabel 2021 52 weken incl. 27,5 '!A74</f>
        <v>109830</v>
      </c>
      <c r="B74" s="191">
        <f>+'Tabel 2021 52 weken incl. 27,5 '!B74</f>
        <v>113099</v>
      </c>
      <c r="C74" s="1"/>
      <c r="D74" s="136">
        <f>+'Tabel 2021 52 weken incl. 27,5 '!D74</f>
        <v>0.433</v>
      </c>
      <c r="E74" s="134"/>
      <c r="F74" s="95">
        <f t="shared" si="0"/>
        <v>4.8223899999999986</v>
      </c>
      <c r="G74" s="94"/>
      <c r="H74" s="95">
        <f t="shared" si="1"/>
        <v>4.23034</v>
      </c>
      <c r="I74" s="1"/>
      <c r="J74" s="137">
        <f>+'Tabel 2021 52 weken incl. 27,5 '!J74</f>
        <v>0.85799999999999998</v>
      </c>
      <c r="K74" s="135"/>
      <c r="L74" s="97">
        <f t="shared" si="2"/>
        <v>1.3501399999999997</v>
      </c>
      <c r="M74" s="96"/>
      <c r="N74" s="97">
        <f t="shared" si="3"/>
        <v>1.2468400000000002</v>
      </c>
    </row>
    <row r="75" spans="1:15" ht="15" x14ac:dyDescent="0.2">
      <c r="A75" s="191">
        <f>+'Tabel 2021 52 weken incl. 27,5 '!A75</f>
        <v>113100</v>
      </c>
      <c r="B75" s="191">
        <f>+'Tabel 2021 52 weken incl. 27,5 '!B75</f>
        <v>116371</v>
      </c>
      <c r="C75" s="1"/>
      <c r="D75" s="136">
        <f>+'Tabel 2021 52 weken incl. 27,5 '!D75</f>
        <v>0.41399999999999998</v>
      </c>
      <c r="E75" s="134"/>
      <c r="F75" s="95">
        <f t="shared" si="0"/>
        <v>4.9776199999999999</v>
      </c>
      <c r="G75" s="94"/>
      <c r="H75" s="95">
        <f t="shared" si="1"/>
        <v>4.3637200000000007</v>
      </c>
      <c r="I75" s="1"/>
      <c r="J75" s="137">
        <f>+'Tabel 2021 52 weken incl. 27,5 '!J75</f>
        <v>0.85099999999999998</v>
      </c>
      <c r="K75" s="135"/>
      <c r="L75" s="97">
        <f t="shared" si="2"/>
        <v>1.4073299999999997</v>
      </c>
      <c r="M75" s="96"/>
      <c r="N75" s="97">
        <f t="shared" si="3"/>
        <v>1.2959800000000001</v>
      </c>
    </row>
    <row r="76" spans="1:15" ht="15" x14ac:dyDescent="0.2">
      <c r="A76" s="191">
        <f>+'Tabel 2021 52 weken incl. 27,5 '!A76</f>
        <v>116372</v>
      </c>
      <c r="B76" s="191">
        <f>+'Tabel 2021 52 weken incl. 27,5 '!B76</f>
        <v>119644</v>
      </c>
      <c r="C76" s="1"/>
      <c r="D76" s="136">
        <f>+'Tabel 2021 52 weken incl. 27,5 '!D76</f>
        <v>0.39500000000000002</v>
      </c>
      <c r="E76" s="134"/>
      <c r="F76" s="95">
        <f t="shared" si="0"/>
        <v>5.1328499999999995</v>
      </c>
      <c r="G76" s="94"/>
      <c r="H76" s="95">
        <f t="shared" si="1"/>
        <v>4.4970999999999997</v>
      </c>
      <c r="I76" s="1"/>
      <c r="J76" s="137">
        <f>+'Tabel 2021 52 weken incl. 27,5 '!J76</f>
        <v>0.84499999999999997</v>
      </c>
      <c r="K76" s="135"/>
      <c r="L76" s="97">
        <f t="shared" si="2"/>
        <v>1.4563499999999998</v>
      </c>
      <c r="M76" s="96"/>
      <c r="N76" s="97">
        <f t="shared" si="3"/>
        <v>1.3381000000000001</v>
      </c>
    </row>
    <row r="77" spans="1:15" ht="15" x14ac:dyDescent="0.2">
      <c r="A77" s="191">
        <f>+'Tabel 2021 52 weken incl. 27,5 '!A77</f>
        <v>119645</v>
      </c>
      <c r="B77" s="191">
        <f>+'Tabel 2021 52 weken incl. 27,5 '!B77</f>
        <v>122916</v>
      </c>
      <c r="C77" s="1"/>
      <c r="D77" s="136">
        <f>+'Tabel 2021 52 weken incl. 27,5 '!D77</f>
        <v>0.376</v>
      </c>
      <c r="E77" s="134"/>
      <c r="F77" s="95">
        <f t="shared" si="0"/>
        <v>5.2880799999999999</v>
      </c>
      <c r="G77" s="94"/>
      <c r="H77" s="95">
        <f t="shared" si="1"/>
        <v>4.6304799999999995</v>
      </c>
      <c r="I77" s="1"/>
      <c r="J77" s="137">
        <f>+'Tabel 2021 52 weken incl. 27,5 '!J77</f>
        <v>0.84099999999999997</v>
      </c>
      <c r="K77" s="135"/>
      <c r="L77" s="97">
        <f t="shared" si="2"/>
        <v>1.4890299999999996</v>
      </c>
      <c r="M77" s="96"/>
      <c r="N77" s="97">
        <f t="shared" si="3"/>
        <v>1.3661800000000002</v>
      </c>
    </row>
    <row r="78" spans="1:15" ht="15" x14ac:dyDescent="0.2">
      <c r="A78" s="191">
        <f>+'Tabel 2021 52 weken incl. 27,5 '!A78</f>
        <v>122917</v>
      </c>
      <c r="B78" s="191">
        <f>+'Tabel 2021 52 weken incl. 27,5 '!B78</f>
        <v>126184</v>
      </c>
      <c r="C78" s="1"/>
      <c r="D78" s="136">
        <f>+'Tabel 2021 52 weken incl. 27,5 '!D78</f>
        <v>0.35699999999999998</v>
      </c>
      <c r="E78" s="134"/>
      <c r="F78" s="95">
        <f t="shared" si="0"/>
        <v>5.4433099999999994</v>
      </c>
      <c r="G78" s="94"/>
      <c r="H78" s="95">
        <f t="shared" si="1"/>
        <v>4.7638600000000002</v>
      </c>
      <c r="I78" s="1"/>
      <c r="J78" s="137">
        <f>+'Tabel 2021 52 weken incl. 27,5 '!J78</f>
        <v>0.83499999999999996</v>
      </c>
      <c r="K78" s="135"/>
      <c r="L78" s="97">
        <f t="shared" si="2"/>
        <v>1.5380499999999997</v>
      </c>
      <c r="M78" s="96"/>
      <c r="N78" s="97">
        <f t="shared" si="3"/>
        <v>1.4083000000000001</v>
      </c>
      <c r="O78" s="100"/>
    </row>
    <row r="79" spans="1:15" ht="15" x14ac:dyDescent="0.2">
      <c r="A79" s="191">
        <f>+'Tabel 2021 52 weken incl. 27,5 '!A79</f>
        <v>126185</v>
      </c>
      <c r="B79" s="191">
        <f>+'Tabel 2021 52 weken incl. 27,5 '!B79</f>
        <v>129456</v>
      </c>
      <c r="C79" s="1"/>
      <c r="D79" s="136">
        <f>+'Tabel 2021 52 weken incl. 27,5 '!D79</f>
        <v>0.34100000000000003</v>
      </c>
      <c r="E79" s="134"/>
      <c r="F79" s="95">
        <f t="shared" si="0"/>
        <v>5.5740299999999996</v>
      </c>
      <c r="G79" s="94"/>
      <c r="H79" s="95">
        <f t="shared" si="1"/>
        <v>4.8761799999999997</v>
      </c>
      <c r="I79" s="1"/>
      <c r="J79" s="137">
        <f>+'Tabel 2021 52 weken incl. 27,5 '!J79</f>
        <v>0.83199999999999996</v>
      </c>
      <c r="K79" s="135"/>
      <c r="L79" s="97">
        <f t="shared" si="2"/>
        <v>1.5625599999999997</v>
      </c>
      <c r="M79" s="96"/>
      <c r="N79" s="97">
        <f t="shared" si="3"/>
        <v>1.4293600000000002</v>
      </c>
    </row>
    <row r="80" spans="1:15" ht="15" x14ac:dyDescent="0.2">
      <c r="A80" s="191">
        <f>+'Tabel 2021 52 weken incl. 27,5 '!A80</f>
        <v>129457</v>
      </c>
      <c r="B80" s="191">
        <f>+'Tabel 2021 52 weken incl. 27,5 '!B80</f>
        <v>132729</v>
      </c>
      <c r="C80" s="1"/>
      <c r="D80" s="136">
        <f>+'Tabel 2021 52 weken incl. 27,5 '!D80</f>
        <v>0.33300000000000002</v>
      </c>
      <c r="E80" s="134"/>
      <c r="F80" s="95">
        <f t="shared" si="0"/>
        <v>5.6393899999999997</v>
      </c>
      <c r="G80" s="94"/>
      <c r="H80" s="95">
        <f t="shared" si="1"/>
        <v>4.9323399999999999</v>
      </c>
      <c r="I80" s="1"/>
      <c r="J80" s="137">
        <f>+'Tabel 2021 52 weken incl. 27,5 '!J80</f>
        <v>0.82499999999999996</v>
      </c>
      <c r="K80" s="135"/>
      <c r="L80" s="97">
        <f t="shared" si="2"/>
        <v>1.6197499999999998</v>
      </c>
      <c r="M80" s="96"/>
      <c r="N80" s="97">
        <f t="shared" si="3"/>
        <v>1.4785000000000001</v>
      </c>
    </row>
    <row r="81" spans="1:14" ht="15" x14ac:dyDescent="0.2">
      <c r="A81" s="191">
        <f>+'Tabel 2021 52 weken incl. 27,5 '!A81</f>
        <v>132730</v>
      </c>
      <c r="B81" s="191">
        <f>+'Tabel 2021 52 weken incl. 27,5 '!B81</f>
        <v>135999</v>
      </c>
      <c r="C81" s="1"/>
      <c r="D81" s="136">
        <f>+'Tabel 2021 52 weken incl. 27,5 '!D81</f>
        <v>0.33300000000000002</v>
      </c>
      <c r="E81" s="134"/>
      <c r="F81" s="95">
        <f t="shared" si="0"/>
        <v>5.6393899999999997</v>
      </c>
      <c r="G81" s="94"/>
      <c r="H81" s="95">
        <f t="shared" si="1"/>
        <v>4.9323399999999999</v>
      </c>
      <c r="I81" s="1"/>
      <c r="J81" s="137">
        <f>+'Tabel 2021 52 weken incl. 27,5 '!J81</f>
        <v>0.81899999999999995</v>
      </c>
      <c r="K81" s="135"/>
      <c r="L81" s="97">
        <f t="shared" si="2"/>
        <v>1.6687699999999999</v>
      </c>
      <c r="M81" s="96"/>
      <c r="N81" s="97">
        <f t="shared" si="3"/>
        <v>1.5206200000000003</v>
      </c>
    </row>
    <row r="82" spans="1:14" ht="15" x14ac:dyDescent="0.2">
      <c r="A82" s="191">
        <f>+'Tabel 2021 52 weken incl. 27,5 '!A82</f>
        <v>136000</v>
      </c>
      <c r="B82" s="191">
        <f>+'Tabel 2021 52 weken incl. 27,5 '!B82</f>
        <v>139270</v>
      </c>
      <c r="C82" s="1"/>
      <c r="D82" s="136">
        <f>+'Tabel 2021 52 weken incl. 27,5 '!D82</f>
        <v>0.33300000000000002</v>
      </c>
      <c r="E82" s="134"/>
      <c r="F82" s="95">
        <f t="shared" si="0"/>
        <v>5.6393899999999997</v>
      </c>
      <c r="G82" s="94"/>
      <c r="H82" s="95">
        <f t="shared" si="1"/>
        <v>4.9323399999999999</v>
      </c>
      <c r="I82" s="1"/>
      <c r="J82" s="137">
        <f>+'Tabel 2021 52 weken incl. 27,5 '!J82</f>
        <v>0.80900000000000005</v>
      </c>
      <c r="K82" s="135"/>
      <c r="L82" s="97">
        <f t="shared" si="2"/>
        <v>1.7504699999999991</v>
      </c>
      <c r="M82" s="96"/>
      <c r="N82" s="97">
        <f t="shared" si="3"/>
        <v>1.5908199999999995</v>
      </c>
    </row>
    <row r="83" spans="1:14" ht="15" x14ac:dyDescent="0.2">
      <c r="A83" s="191">
        <f>+'Tabel 2021 52 weken incl. 27,5 '!A83</f>
        <v>139271</v>
      </c>
      <c r="B83" s="191">
        <f>+'Tabel 2021 52 weken incl. 27,5 '!B83</f>
        <v>142541</v>
      </c>
      <c r="C83" s="1"/>
      <c r="D83" s="136">
        <f>+'Tabel 2021 52 weken incl. 27,5 '!D83</f>
        <v>0.33300000000000002</v>
      </c>
      <c r="E83" s="134"/>
      <c r="F83" s="95">
        <f t="shared" si="0"/>
        <v>5.6393899999999997</v>
      </c>
      <c r="G83" s="94"/>
      <c r="H83" s="95">
        <f t="shared" si="1"/>
        <v>4.9323399999999999</v>
      </c>
      <c r="I83" s="1"/>
      <c r="J83" s="137">
        <f>+'Tabel 2021 52 weken incl. 27,5 '!J83</f>
        <v>0.80600000000000005</v>
      </c>
      <c r="K83" s="135"/>
      <c r="L83" s="97">
        <f t="shared" si="2"/>
        <v>1.7749799999999991</v>
      </c>
      <c r="M83" s="96"/>
      <c r="N83" s="97">
        <f t="shared" si="3"/>
        <v>1.6118799999999995</v>
      </c>
    </row>
    <row r="84" spans="1:14" ht="15" x14ac:dyDescent="0.2">
      <c r="A84" s="191">
        <f>+'Tabel 2021 52 weken incl. 27,5 '!A84</f>
        <v>142542</v>
      </c>
      <c r="B84" s="191">
        <f>+'Tabel 2021 52 weken incl. 27,5 '!B84</f>
        <v>145813</v>
      </c>
      <c r="C84" s="1"/>
      <c r="D84" s="136">
        <f>+'Tabel 2021 52 weken incl. 27,5 '!D84</f>
        <v>0.33300000000000002</v>
      </c>
      <c r="E84" s="134"/>
      <c r="F84" s="95">
        <f t="shared" si="0"/>
        <v>5.6393899999999997</v>
      </c>
      <c r="G84" s="94"/>
      <c r="H84" s="95">
        <f t="shared" si="1"/>
        <v>4.9323399999999999</v>
      </c>
      <c r="I84" s="1"/>
      <c r="J84" s="137">
        <f>+'Tabel 2021 52 weken incl. 27,5 '!J84</f>
        <v>0.79800000000000004</v>
      </c>
      <c r="K84" s="135"/>
      <c r="L84" s="97">
        <f t="shared" si="2"/>
        <v>1.8403399999999992</v>
      </c>
      <c r="M84" s="96"/>
      <c r="N84" s="97">
        <f t="shared" si="3"/>
        <v>1.6680399999999995</v>
      </c>
    </row>
    <row r="85" spans="1:14" ht="15" x14ac:dyDescent="0.2">
      <c r="A85" s="191">
        <f>+'Tabel 2021 52 weken incl. 27,5 '!A85</f>
        <v>145814</v>
      </c>
      <c r="B85" s="191">
        <f>+'Tabel 2021 52 weken incl. 27,5 '!B85</f>
        <v>149088</v>
      </c>
      <c r="C85" s="1"/>
      <c r="D85" s="136">
        <f>+'Tabel 2021 52 weken incl. 27,5 '!D85</f>
        <v>0.33300000000000002</v>
      </c>
      <c r="E85" s="134"/>
      <c r="F85" s="95">
        <f t="shared" si="0"/>
        <v>5.6393899999999997</v>
      </c>
      <c r="G85" s="94"/>
      <c r="H85" s="95">
        <f t="shared" si="1"/>
        <v>4.9323399999999999</v>
      </c>
      <c r="I85" s="1"/>
      <c r="J85" s="137">
        <f>+'Tabel 2021 52 weken incl. 27,5 '!J85</f>
        <v>0.78900000000000003</v>
      </c>
      <c r="K85" s="135"/>
      <c r="L85" s="97">
        <f t="shared" si="2"/>
        <v>1.9138699999999993</v>
      </c>
      <c r="M85" s="96"/>
      <c r="N85" s="97">
        <f t="shared" si="3"/>
        <v>1.7312199999999998</v>
      </c>
    </row>
    <row r="86" spans="1:14" ht="15" x14ac:dyDescent="0.2">
      <c r="A86" s="191">
        <f>+'Tabel 2021 52 weken incl. 27,5 '!A86</f>
        <v>149089</v>
      </c>
      <c r="B86" s="191">
        <f>+'Tabel 2021 52 weken incl. 27,5 '!B86</f>
        <v>152356</v>
      </c>
      <c r="C86" s="1"/>
      <c r="D86" s="136">
        <f>+'Tabel 2021 52 weken incl. 27,5 '!D86</f>
        <v>0.33300000000000002</v>
      </c>
      <c r="E86" s="134"/>
      <c r="F86" s="95">
        <f t="shared" si="0"/>
        <v>5.6393899999999997</v>
      </c>
      <c r="G86" s="94"/>
      <c r="H86" s="95">
        <f t="shared" si="1"/>
        <v>4.9323399999999999</v>
      </c>
      <c r="I86" s="1"/>
      <c r="J86" s="137">
        <f>+'Tabel 2021 52 weken incl. 27,5 '!J86</f>
        <v>0.78300000000000003</v>
      </c>
      <c r="K86" s="135"/>
      <c r="L86" s="97">
        <f t="shared" si="2"/>
        <v>1.9628899999999994</v>
      </c>
      <c r="M86" s="96"/>
      <c r="N86" s="97">
        <f t="shared" si="3"/>
        <v>1.7733399999999997</v>
      </c>
    </row>
    <row r="87" spans="1:14" ht="15" x14ac:dyDescent="0.2">
      <c r="A87" s="191">
        <f>+'Tabel 2021 52 weken incl. 27,5 '!A87</f>
        <v>152357</v>
      </c>
      <c r="B87" s="191">
        <f>+'Tabel 2021 52 weken incl. 27,5 '!B87</f>
        <v>155628</v>
      </c>
      <c r="C87" s="1"/>
      <c r="D87" s="136">
        <f>+'Tabel 2021 52 weken incl. 27,5 '!D87</f>
        <v>0.33300000000000002</v>
      </c>
      <c r="E87" s="134"/>
      <c r="F87" s="95">
        <f t="shared" si="0"/>
        <v>5.6393899999999997</v>
      </c>
      <c r="G87" s="94"/>
      <c r="H87" s="95">
        <f t="shared" si="1"/>
        <v>4.9323399999999999</v>
      </c>
      <c r="I87" s="1"/>
      <c r="J87" s="137">
        <f>+'Tabel 2021 52 weken incl. 27,5 '!J87</f>
        <v>0.77400000000000002</v>
      </c>
      <c r="K87" s="135"/>
      <c r="L87" s="97">
        <f t="shared" si="2"/>
        <v>2.0364199999999992</v>
      </c>
      <c r="M87" s="96"/>
      <c r="N87" s="97">
        <f t="shared" si="3"/>
        <v>1.8365199999999997</v>
      </c>
    </row>
    <row r="88" spans="1:14" ht="15" x14ac:dyDescent="0.2">
      <c r="A88" s="191">
        <f>+'Tabel 2021 52 weken incl. 27,5 '!A88</f>
        <v>155629</v>
      </c>
      <c r="B88" s="191">
        <f>+'Tabel 2021 52 weken incl. 27,5 '!B88</f>
        <v>158897</v>
      </c>
      <c r="C88" s="1"/>
      <c r="D88" s="136">
        <f>+'Tabel 2021 52 weken incl. 27,5 '!D88</f>
        <v>0.33300000000000002</v>
      </c>
      <c r="E88" s="134"/>
      <c r="F88" s="95">
        <f t="shared" si="0"/>
        <v>5.6393899999999997</v>
      </c>
      <c r="G88" s="94"/>
      <c r="H88" s="95">
        <f t="shared" si="1"/>
        <v>4.9323399999999999</v>
      </c>
      <c r="I88" s="1"/>
      <c r="J88" s="137">
        <f>+'Tabel 2021 52 weken incl. 27,5 '!J88</f>
        <v>0.76900000000000002</v>
      </c>
      <c r="K88" s="135"/>
      <c r="L88" s="97">
        <f t="shared" si="2"/>
        <v>2.0772699999999995</v>
      </c>
      <c r="M88" s="96"/>
      <c r="N88" s="97">
        <f t="shared" si="3"/>
        <v>1.8716199999999998</v>
      </c>
    </row>
    <row r="89" spans="1:14" ht="15" x14ac:dyDescent="0.2">
      <c r="A89" s="191">
        <f>+'Tabel 2021 52 weken incl. 27,5 '!A89</f>
        <v>158898</v>
      </c>
      <c r="B89" s="191">
        <f>+'Tabel 2021 52 weken incl. 27,5 '!B89</f>
        <v>162171</v>
      </c>
      <c r="C89" s="1"/>
      <c r="D89" s="136">
        <f>+'Tabel 2021 52 weken incl. 27,5 '!D89</f>
        <v>0.33300000000000002</v>
      </c>
      <c r="E89" s="134"/>
      <c r="F89" s="95">
        <f t="shared" si="0"/>
        <v>5.6393899999999997</v>
      </c>
      <c r="G89" s="94"/>
      <c r="H89" s="95">
        <f t="shared" si="1"/>
        <v>4.9323399999999999</v>
      </c>
      <c r="I89" s="1"/>
      <c r="J89" s="137">
        <f>+'Tabel 2021 52 weken incl. 27,5 '!J89</f>
        <v>0.76200000000000001</v>
      </c>
      <c r="K89" s="135"/>
      <c r="L89" s="97">
        <f t="shared" si="2"/>
        <v>2.1344599999999994</v>
      </c>
      <c r="M89" s="96"/>
      <c r="N89" s="97">
        <f t="shared" si="3"/>
        <v>1.9207599999999998</v>
      </c>
    </row>
    <row r="90" spans="1:14" ht="15" x14ac:dyDescent="0.2">
      <c r="A90" s="191">
        <f>+'Tabel 2021 52 weken incl. 27,5 '!A90</f>
        <v>162172</v>
      </c>
      <c r="B90" s="191">
        <f>+'Tabel 2021 52 weken incl. 27,5 '!B90</f>
        <v>165443</v>
      </c>
      <c r="C90" s="1"/>
      <c r="D90" s="136">
        <f>+'Tabel 2021 52 weken incl. 27,5 '!D90</f>
        <v>0.33300000000000002</v>
      </c>
      <c r="E90" s="134"/>
      <c r="F90" s="95">
        <f t="shared" si="0"/>
        <v>5.6393899999999997</v>
      </c>
      <c r="G90" s="94"/>
      <c r="H90" s="95">
        <f t="shared" si="1"/>
        <v>4.9323399999999999</v>
      </c>
      <c r="I90" s="1"/>
      <c r="J90" s="137">
        <f>+'Tabel 2021 52 weken incl. 27,5 '!J90</f>
        <v>0.755</v>
      </c>
      <c r="K90" s="135"/>
      <c r="L90" s="97">
        <f t="shared" si="2"/>
        <v>2.1916499999999997</v>
      </c>
      <c r="M90" s="96"/>
      <c r="N90" s="97">
        <f t="shared" si="3"/>
        <v>1.9698999999999998</v>
      </c>
    </row>
    <row r="91" spans="1:14" ht="15" x14ac:dyDescent="0.2">
      <c r="A91" s="191">
        <f>+'Tabel 2021 52 weken incl. 27,5 '!A91</f>
        <v>165444</v>
      </c>
      <c r="B91" s="191">
        <f>+'Tabel 2021 52 weken incl. 27,5 '!B91</f>
        <v>168714</v>
      </c>
      <c r="C91" s="1"/>
      <c r="D91" s="136">
        <f>+'Tabel 2021 52 weken incl. 27,5 '!D91</f>
        <v>0.33300000000000002</v>
      </c>
      <c r="E91" s="134"/>
      <c r="F91" s="95">
        <f t="shared" si="0"/>
        <v>5.6393899999999997</v>
      </c>
      <c r="G91" s="94"/>
      <c r="H91" s="95">
        <f t="shared" si="1"/>
        <v>4.9323399999999999</v>
      </c>
      <c r="I91" s="1"/>
      <c r="J91" s="137">
        <f>+'Tabel 2021 52 weken incl. 27,5 '!J91</f>
        <v>0.748</v>
      </c>
      <c r="K91" s="135"/>
      <c r="L91" s="97">
        <f t="shared" si="2"/>
        <v>2.2488399999999995</v>
      </c>
      <c r="M91" s="96"/>
      <c r="N91" s="97">
        <f t="shared" si="3"/>
        <v>2.0190399999999999</v>
      </c>
    </row>
    <row r="92" spans="1:14" ht="15" x14ac:dyDescent="0.2">
      <c r="A92" s="191">
        <f>+'Tabel 2021 52 weken incl. 27,5 '!A92</f>
        <v>168715</v>
      </c>
      <c r="B92" s="191">
        <f>+'Tabel 2021 52 weken incl. 27,5 '!B92</f>
        <v>171985</v>
      </c>
      <c r="C92" s="1"/>
      <c r="D92" s="136">
        <f>+'Tabel 2021 52 weken incl. 27,5 '!D92</f>
        <v>0.33300000000000002</v>
      </c>
      <c r="E92" s="134"/>
      <c r="F92" s="95">
        <f t="shared" si="0"/>
        <v>5.6393899999999997</v>
      </c>
      <c r="G92" s="94"/>
      <c r="H92" s="95">
        <f t="shared" si="1"/>
        <v>4.9323399999999999</v>
      </c>
      <c r="I92" s="1"/>
      <c r="J92" s="137">
        <f>+'Tabel 2021 52 weken incl. 27,5 '!J92</f>
        <v>0.73799999999999999</v>
      </c>
      <c r="K92" s="135"/>
      <c r="L92" s="97">
        <f t="shared" si="2"/>
        <v>2.3305399999999996</v>
      </c>
      <c r="M92" s="96"/>
      <c r="N92" s="97">
        <f t="shared" si="3"/>
        <v>2.0892400000000002</v>
      </c>
    </row>
    <row r="93" spans="1:14" ht="15" x14ac:dyDescent="0.2">
      <c r="A93" s="191">
        <f>+'Tabel 2021 52 weken incl. 27,5 '!A93</f>
        <v>171986</v>
      </c>
      <c r="B93" s="191">
        <f>+'Tabel 2021 52 weken incl. 27,5 '!B93</f>
        <v>175253</v>
      </c>
      <c r="C93" s="1"/>
      <c r="D93" s="136">
        <f>+'Tabel 2021 52 weken incl. 27,5 '!D93</f>
        <v>0.33300000000000002</v>
      </c>
      <c r="E93" s="134"/>
      <c r="F93" s="95">
        <f t="shared" si="0"/>
        <v>5.6393899999999997</v>
      </c>
      <c r="G93" s="94"/>
      <c r="H93" s="95">
        <f t="shared" si="1"/>
        <v>4.9323399999999999</v>
      </c>
      <c r="I93" s="1"/>
      <c r="J93" s="137">
        <f>+'Tabel 2021 52 weken incl. 27,5 '!J93</f>
        <v>0.73299999999999998</v>
      </c>
      <c r="K93" s="135"/>
      <c r="L93" s="97">
        <f t="shared" si="2"/>
        <v>2.3713899999999994</v>
      </c>
      <c r="M93" s="96"/>
      <c r="N93" s="97">
        <f t="shared" si="3"/>
        <v>2.1243400000000001</v>
      </c>
    </row>
    <row r="94" spans="1:14" ht="15" x14ac:dyDescent="0.2">
      <c r="A94" s="191">
        <f>+'Tabel 2021 52 weken incl. 27,5 '!A94</f>
        <v>175254</v>
      </c>
      <c r="B94" s="191">
        <f>+'Tabel 2021 52 weken incl. 27,5 '!B94</f>
        <v>178527</v>
      </c>
      <c r="C94" s="1"/>
      <c r="D94" s="136">
        <f>+'Tabel 2021 52 weken incl. 27,5 '!D94</f>
        <v>0.33300000000000002</v>
      </c>
      <c r="E94" s="134"/>
      <c r="F94" s="95">
        <f t="shared" si="0"/>
        <v>5.6393899999999997</v>
      </c>
      <c r="G94" s="94"/>
      <c r="H94" s="95">
        <f t="shared" si="1"/>
        <v>4.9323399999999999</v>
      </c>
      <c r="I94" s="1"/>
      <c r="J94" s="137">
        <f>+'Tabel 2021 52 weken incl. 27,5 '!J94</f>
        <v>0.72599999999999998</v>
      </c>
      <c r="K94" s="135"/>
      <c r="L94" s="97">
        <f t="shared" si="2"/>
        <v>2.4285799999999997</v>
      </c>
      <c r="M94" s="96"/>
      <c r="N94" s="97">
        <f t="shared" si="3"/>
        <v>2.1734800000000001</v>
      </c>
    </row>
    <row r="95" spans="1:14" ht="15" x14ac:dyDescent="0.2">
      <c r="A95" s="191">
        <f>+'Tabel 2021 52 weken incl. 27,5 '!A95</f>
        <v>178528</v>
      </c>
      <c r="B95" s="191">
        <f>+'Tabel 2021 52 weken incl. 27,5 '!B95</f>
        <v>181797</v>
      </c>
      <c r="C95" s="1"/>
      <c r="D95" s="136">
        <f>+'Tabel 2021 52 weken incl. 27,5 '!D95</f>
        <v>0.33300000000000002</v>
      </c>
      <c r="E95" s="134"/>
      <c r="F95" s="95">
        <f t="shared" si="0"/>
        <v>5.6393899999999997</v>
      </c>
      <c r="G95" s="94"/>
      <c r="H95" s="95">
        <f t="shared" si="1"/>
        <v>4.9323399999999999</v>
      </c>
      <c r="I95" s="1"/>
      <c r="J95" s="137">
        <f>+'Tabel 2021 52 weken incl. 27,5 '!J95</f>
        <v>0.71799999999999997</v>
      </c>
      <c r="K95" s="135"/>
      <c r="L95" s="97">
        <f t="shared" si="2"/>
        <v>2.4939399999999998</v>
      </c>
      <c r="M95" s="96"/>
      <c r="N95" s="97">
        <f t="shared" si="3"/>
        <v>2.2296399999999998</v>
      </c>
    </row>
    <row r="96" spans="1:14" ht="15" x14ac:dyDescent="0.2">
      <c r="A96" s="191">
        <f>+'Tabel 2021 52 weken incl. 27,5 '!A96</f>
        <v>181798</v>
      </c>
      <c r="B96" s="191">
        <f>+'Tabel 2021 52 weken incl. 27,5 '!B96</f>
        <v>185070</v>
      </c>
      <c r="C96" s="1"/>
      <c r="D96" s="136">
        <f>+'Tabel 2021 52 weken incl. 27,5 '!D96</f>
        <v>0.33300000000000002</v>
      </c>
      <c r="E96" s="134"/>
      <c r="F96" s="95">
        <f t="shared" si="0"/>
        <v>5.6393899999999997</v>
      </c>
      <c r="G96" s="94"/>
      <c r="H96" s="95">
        <f t="shared" si="1"/>
        <v>4.9323399999999999</v>
      </c>
      <c r="I96" s="1"/>
      <c r="J96" s="137">
        <f>+'Tabel 2021 52 weken incl. 27,5 '!J96</f>
        <v>0.71099999999999997</v>
      </c>
      <c r="K96" s="135"/>
      <c r="L96" s="97">
        <f t="shared" si="2"/>
        <v>2.5511299999999997</v>
      </c>
      <c r="M96" s="96"/>
      <c r="N96" s="97">
        <f t="shared" si="3"/>
        <v>2.2787800000000002</v>
      </c>
    </row>
    <row r="97" spans="1:14" ht="15" x14ac:dyDescent="0.2">
      <c r="A97" s="191">
        <f>+'Tabel 2021 52 weken incl. 27,5 '!A97</f>
        <v>185071</v>
      </c>
      <c r="B97" s="191">
        <f>+'Tabel 2021 52 weken incl. 27,5 '!B97</f>
        <v>188342</v>
      </c>
      <c r="C97" s="1"/>
      <c r="D97" s="136">
        <f>+'Tabel 2021 52 weken incl. 27,5 '!D97</f>
        <v>0.33300000000000002</v>
      </c>
      <c r="E97" s="134"/>
      <c r="F97" s="95">
        <f t="shared" si="0"/>
        <v>5.6393899999999997</v>
      </c>
      <c r="G97" s="94"/>
      <c r="H97" s="95">
        <f t="shared" si="1"/>
        <v>4.9323399999999999</v>
      </c>
      <c r="I97" s="1"/>
      <c r="J97" s="137">
        <f>+'Tabel 2021 52 weken incl. 27,5 '!J97</f>
        <v>0.70499999999999996</v>
      </c>
      <c r="K97" s="135"/>
      <c r="L97" s="97">
        <f t="shared" si="2"/>
        <v>2.6001499999999997</v>
      </c>
      <c r="M97" s="96"/>
      <c r="N97" s="97">
        <f t="shared" si="3"/>
        <v>2.3209</v>
      </c>
    </row>
    <row r="98" spans="1:14" ht="15" x14ac:dyDescent="0.2">
      <c r="A98" s="191">
        <f>+'Tabel 2021 52 weken incl. 27,5 '!A98</f>
        <v>188343</v>
      </c>
      <c r="B98" s="191">
        <f>+'Tabel 2021 52 weken incl. 27,5 '!B98</f>
        <v>191612</v>
      </c>
      <c r="C98" s="1"/>
      <c r="D98" s="136">
        <f>+'Tabel 2021 52 weken incl. 27,5 '!D98</f>
        <v>0.33300000000000002</v>
      </c>
      <c r="E98" s="134"/>
      <c r="F98" s="95">
        <f t="shared" ref="F98:F101" si="4">IF($D$19&gt;=$F$28,($F$28*(100%-D98))+($F$19),$D$19*(100%-D98)+$F$19)</f>
        <v>5.6393899999999997</v>
      </c>
      <c r="G98" s="94"/>
      <c r="H98" s="95">
        <f t="shared" ref="H98:H101" si="5">IF($D$20&gt;=$H$28,($H$28*(100%-D98))+($F$20),$D$20*(100%-D98)+($F$20))</f>
        <v>4.9323399999999999</v>
      </c>
      <c r="I98" s="1"/>
      <c r="J98" s="137">
        <f>+'Tabel 2021 52 weken incl. 27,5 '!J98</f>
        <v>0.69799999999999995</v>
      </c>
      <c r="K98" s="135"/>
      <c r="L98" s="97">
        <f t="shared" ref="L98:L101" si="6">IF($D$19&gt;=$L$28,($L$28*(100%-J98))+(F$19),$D$19*(100%-J98)+$F$19)</f>
        <v>2.65734</v>
      </c>
      <c r="M98" s="96"/>
      <c r="N98" s="97">
        <f t="shared" ref="N98:N101" si="7">IF($D$20&gt;=$H$28,($H$28*(100%-J98))+($F$20),$D$20*(100%-J98)+($F$20))</f>
        <v>2.3700400000000004</v>
      </c>
    </row>
    <row r="99" spans="1:14" ht="15" x14ac:dyDescent="0.2">
      <c r="A99" s="191">
        <f>+'Tabel 2021 52 weken incl. 27,5 '!A99</f>
        <v>191613</v>
      </c>
      <c r="B99" s="191">
        <f>+'Tabel 2021 52 weken incl. 27,5 '!B99</f>
        <v>194884</v>
      </c>
      <c r="C99" s="1"/>
      <c r="D99" s="136">
        <f>+'Tabel 2021 52 weken incl. 27,5 '!D99</f>
        <v>0.33300000000000002</v>
      </c>
      <c r="E99" s="134"/>
      <c r="F99" s="95">
        <f t="shared" si="4"/>
        <v>5.6393899999999997</v>
      </c>
      <c r="G99" s="94"/>
      <c r="H99" s="95">
        <f t="shared" si="5"/>
        <v>4.9323399999999999</v>
      </c>
      <c r="I99" s="1"/>
      <c r="J99" s="137">
        <f>+'Tabel 2021 52 weken incl. 27,5 '!J99</f>
        <v>0.69</v>
      </c>
      <c r="K99" s="135"/>
      <c r="L99" s="97">
        <f t="shared" si="6"/>
        <v>2.7227000000000001</v>
      </c>
      <c r="M99" s="96"/>
      <c r="N99" s="97">
        <f t="shared" si="7"/>
        <v>2.4262000000000001</v>
      </c>
    </row>
    <row r="100" spans="1:14" ht="15" x14ac:dyDescent="0.2">
      <c r="A100" s="191">
        <f>+'Tabel 2021 52 weken incl. 27,5 '!A100</f>
        <v>194885</v>
      </c>
      <c r="B100" s="191">
        <f>+'Tabel 2021 52 weken incl. 27,5 '!B100</f>
        <v>198154</v>
      </c>
      <c r="C100" s="1"/>
      <c r="D100" s="136">
        <f>+'Tabel 2021 52 weken incl. 27,5 '!D100</f>
        <v>0.33300000000000002</v>
      </c>
      <c r="E100" s="134"/>
      <c r="F100" s="95">
        <f t="shared" si="4"/>
        <v>5.6393899999999997</v>
      </c>
      <c r="G100" s="94"/>
      <c r="H100" s="95">
        <f t="shared" si="5"/>
        <v>4.9323399999999999</v>
      </c>
      <c r="I100" s="1"/>
      <c r="J100" s="137">
        <f>+'Tabel 2021 52 weken incl. 27,5 '!J100</f>
        <v>0.68500000000000005</v>
      </c>
      <c r="K100" s="135"/>
      <c r="L100" s="97">
        <f t="shared" si="6"/>
        <v>2.7635499999999991</v>
      </c>
      <c r="M100" s="96"/>
      <c r="N100" s="97">
        <f t="shared" si="7"/>
        <v>2.4612999999999996</v>
      </c>
    </row>
    <row r="101" spans="1:14" ht="15" x14ac:dyDescent="0.2">
      <c r="A101" s="191">
        <f>+'Tabel 2021 52 weken incl. 27,5 '!A101</f>
        <v>198155</v>
      </c>
      <c r="B101" s="191" t="str">
        <f>+'Tabel 2021 52 weken incl. 27,5 '!B101</f>
        <v>en hoger</v>
      </c>
      <c r="C101" s="1"/>
      <c r="D101" s="136">
        <f>+'Tabel 2021 52 weken incl. 27,5 '!D101</f>
        <v>0.33300000000000002</v>
      </c>
      <c r="E101" s="134"/>
      <c r="F101" s="95">
        <f t="shared" si="4"/>
        <v>5.6393899999999997</v>
      </c>
      <c r="G101" s="94"/>
      <c r="H101" s="95">
        <f t="shared" si="5"/>
        <v>4.9323399999999999</v>
      </c>
      <c r="I101" s="1"/>
      <c r="J101" s="137">
        <f>+'Tabel 2021 52 weken incl. 27,5 '!J101</f>
        <v>0.67600000000000005</v>
      </c>
      <c r="K101" s="135"/>
      <c r="L101" s="97">
        <f t="shared" si="6"/>
        <v>2.8370799999999989</v>
      </c>
      <c r="M101" s="96"/>
      <c r="N101" s="97">
        <f t="shared" si="7"/>
        <v>2.5244799999999996</v>
      </c>
    </row>
    <row r="102" spans="1:14" x14ac:dyDescent="0.2">
      <c r="C102" s="1"/>
      <c r="I102" s="1"/>
    </row>
    <row r="103" spans="1:14" x14ac:dyDescent="0.2">
      <c r="C103" s="1"/>
      <c r="I103" s="1"/>
    </row>
    <row r="104" spans="1:14" x14ac:dyDescent="0.2">
      <c r="C104" s="1"/>
      <c r="I104" s="1"/>
    </row>
    <row r="105" spans="1:14" x14ac:dyDescent="0.2">
      <c r="A105" s="102"/>
      <c r="C105" s="1"/>
      <c r="I105" s="1"/>
    </row>
    <row r="106" spans="1:14" x14ac:dyDescent="0.2">
      <c r="A106" s="102"/>
      <c r="C106" s="1"/>
      <c r="I106" s="1"/>
    </row>
    <row r="107" spans="1:14" x14ac:dyDescent="0.2">
      <c r="C107" s="1"/>
      <c r="I107" s="1"/>
    </row>
    <row r="108" spans="1:14" x14ac:dyDescent="0.2">
      <c r="C108" s="1"/>
      <c r="I108" s="1"/>
    </row>
    <row r="109" spans="1:14" x14ac:dyDescent="0.2">
      <c r="C109" s="1"/>
      <c r="I109" s="1"/>
    </row>
    <row r="110" spans="1:14" ht="15.75" x14ac:dyDescent="0.2">
      <c r="A110" s="129"/>
      <c r="B110" s="130"/>
      <c r="C110" s="133"/>
      <c r="D110" s="128"/>
      <c r="I110" s="1"/>
    </row>
    <row r="111" spans="1:14" ht="15.75" x14ac:dyDescent="0.2">
      <c r="A111" s="130"/>
      <c r="B111" s="130"/>
      <c r="C111" s="133"/>
      <c r="D111" s="128"/>
      <c r="I111" s="1"/>
    </row>
    <row r="112" spans="1:14" ht="15.75" x14ac:dyDescent="0.2">
      <c r="A112" s="130"/>
      <c r="B112" s="130"/>
      <c r="C112" s="133"/>
      <c r="D112" s="128"/>
      <c r="I112" s="1"/>
    </row>
    <row r="113" spans="1:10" ht="15.75" x14ac:dyDescent="0.2">
      <c r="A113" s="130"/>
      <c r="B113" s="130"/>
      <c r="C113" s="133"/>
      <c r="D113" s="128"/>
      <c r="I113" s="1"/>
    </row>
    <row r="114" spans="1:10" ht="15.75" x14ac:dyDescent="0.2">
      <c r="A114" s="130"/>
      <c r="B114" s="130"/>
      <c r="C114" s="128"/>
      <c r="D114" s="128"/>
    </row>
    <row r="115" spans="1:10" ht="15.75" x14ac:dyDescent="0.2">
      <c r="A115" s="130"/>
      <c r="B115" s="130"/>
      <c r="C115" s="128"/>
      <c r="D115" s="128"/>
      <c r="F115"/>
      <c r="H115"/>
      <c r="J115"/>
    </row>
    <row r="116" spans="1:10" ht="15.75" x14ac:dyDescent="0.2">
      <c r="A116" s="130"/>
      <c r="B116" s="130"/>
      <c r="C116" s="128"/>
      <c r="D116" s="128"/>
      <c r="F116"/>
      <c r="H116"/>
      <c r="J116"/>
    </row>
    <row r="117" spans="1:10" ht="15.75" x14ac:dyDescent="0.2">
      <c r="A117" s="130"/>
      <c r="B117" s="130"/>
      <c r="C117" s="128"/>
      <c r="D117" s="128"/>
      <c r="F117"/>
      <c r="H117"/>
      <c r="J117"/>
    </row>
    <row r="118" spans="1:10" ht="15.75" x14ac:dyDescent="0.2">
      <c r="A118" s="130"/>
      <c r="B118" s="130"/>
      <c r="C118" s="128"/>
      <c r="D118" s="128"/>
      <c r="F118"/>
      <c r="H118"/>
      <c r="J118"/>
    </row>
    <row r="119" spans="1:10" ht="15.75" x14ac:dyDescent="0.2">
      <c r="A119" s="130"/>
      <c r="B119" s="130"/>
      <c r="C119" s="128"/>
      <c r="D119" s="128"/>
      <c r="F119"/>
      <c r="H119"/>
      <c r="J119"/>
    </row>
    <row r="120" spans="1:10" ht="15.75" x14ac:dyDescent="0.2">
      <c r="A120" s="130"/>
      <c r="B120" s="130"/>
      <c r="C120" s="128"/>
      <c r="D120" s="128"/>
      <c r="F120"/>
      <c r="H120"/>
      <c r="J120"/>
    </row>
    <row r="121" spans="1:10" ht="15.75" x14ac:dyDescent="0.2">
      <c r="A121" s="130"/>
      <c r="B121" s="130"/>
      <c r="C121" s="128"/>
      <c r="D121" s="128"/>
      <c r="F121"/>
      <c r="H121"/>
      <c r="J121"/>
    </row>
    <row r="122" spans="1:10" ht="15.75" x14ac:dyDescent="0.2">
      <c r="A122" s="130"/>
      <c r="B122" s="130"/>
      <c r="C122" s="128"/>
      <c r="D122" s="128"/>
      <c r="F122"/>
      <c r="H122"/>
      <c r="J122"/>
    </row>
    <row r="123" spans="1:10" ht="15.75" x14ac:dyDescent="0.2">
      <c r="A123" s="130"/>
      <c r="B123" s="130"/>
      <c r="C123" s="128"/>
      <c r="D123" s="128"/>
      <c r="F123"/>
      <c r="H123"/>
      <c r="J123"/>
    </row>
    <row r="124" spans="1:10" ht="15.75" x14ac:dyDescent="0.2">
      <c r="A124" s="130"/>
      <c r="B124" s="130"/>
      <c r="C124" s="128"/>
      <c r="D124" s="128"/>
      <c r="F124"/>
      <c r="H124"/>
      <c r="J124"/>
    </row>
    <row r="125" spans="1:10" ht="15.75" x14ac:dyDescent="0.2">
      <c r="A125" s="130"/>
      <c r="B125" s="130"/>
      <c r="C125" s="128"/>
      <c r="D125" s="128"/>
      <c r="F125"/>
      <c r="H125"/>
      <c r="J125"/>
    </row>
    <row r="126" spans="1:10" ht="15.75" x14ac:dyDescent="0.2">
      <c r="A126" s="130"/>
      <c r="B126" s="130"/>
      <c r="C126" s="128"/>
      <c r="D126" s="128"/>
      <c r="F126"/>
      <c r="H126"/>
      <c r="J126"/>
    </row>
    <row r="127" spans="1:10" ht="15.75" x14ac:dyDescent="0.2">
      <c r="A127" s="130"/>
      <c r="B127" s="130"/>
      <c r="C127" s="128"/>
      <c r="D127" s="128"/>
      <c r="F127"/>
      <c r="H127"/>
      <c r="J127"/>
    </row>
    <row r="128" spans="1:10" ht="15.75" x14ac:dyDescent="0.2">
      <c r="A128" s="130"/>
      <c r="B128" s="130"/>
      <c r="C128" s="128"/>
      <c r="D128" s="128"/>
      <c r="F128"/>
      <c r="H128"/>
      <c r="J128"/>
    </row>
    <row r="129" spans="1:10" ht="15.75" x14ac:dyDescent="0.2">
      <c r="A129" s="130"/>
      <c r="B129" s="130"/>
      <c r="C129" s="128"/>
      <c r="D129" s="128"/>
      <c r="F129"/>
      <c r="H129"/>
      <c r="J129"/>
    </row>
    <row r="130" spans="1:10" ht="15.75" x14ac:dyDescent="0.2">
      <c r="A130" s="130"/>
      <c r="B130" s="130"/>
      <c r="C130" s="128"/>
      <c r="D130" s="128"/>
      <c r="F130"/>
      <c r="H130"/>
      <c r="J130"/>
    </row>
    <row r="131" spans="1:10" ht="15.75" x14ac:dyDescent="0.2">
      <c r="A131" s="130"/>
      <c r="B131" s="130"/>
      <c r="C131" s="128"/>
      <c r="D131" s="128"/>
      <c r="F131"/>
      <c r="H131"/>
      <c r="J131"/>
    </row>
    <row r="132" spans="1:10" ht="15.75" x14ac:dyDescent="0.2">
      <c r="A132" s="130"/>
      <c r="B132" s="130"/>
      <c r="C132" s="128"/>
      <c r="D132" s="128"/>
      <c r="F132"/>
      <c r="H132"/>
      <c r="J132"/>
    </row>
    <row r="133" spans="1:10" ht="15.75" x14ac:dyDescent="0.2">
      <c r="A133" s="130"/>
      <c r="B133" s="130"/>
      <c r="C133" s="128"/>
      <c r="D133" s="128"/>
      <c r="F133"/>
      <c r="H133"/>
      <c r="J133"/>
    </row>
    <row r="134" spans="1:10" ht="15.75" x14ac:dyDescent="0.2">
      <c r="A134" s="130"/>
      <c r="B134" s="130"/>
      <c r="C134" s="128"/>
      <c r="D134" s="128"/>
      <c r="F134"/>
      <c r="H134"/>
      <c r="J134"/>
    </row>
    <row r="135" spans="1:10" ht="15.75" x14ac:dyDescent="0.2">
      <c r="A135" s="130"/>
      <c r="B135" s="130"/>
      <c r="C135" s="128"/>
      <c r="D135" s="128"/>
      <c r="F135"/>
      <c r="H135"/>
      <c r="J135"/>
    </row>
    <row r="136" spans="1:10" ht="15.75" x14ac:dyDescent="0.2">
      <c r="A136" s="130"/>
      <c r="B136" s="130"/>
      <c r="C136" s="128"/>
      <c r="D136" s="128"/>
      <c r="F136"/>
      <c r="H136"/>
      <c r="J136"/>
    </row>
    <row r="137" spans="1:10" ht="15.75" x14ac:dyDescent="0.2">
      <c r="A137" s="130"/>
      <c r="B137" s="130"/>
      <c r="C137" s="128"/>
      <c r="D137" s="128"/>
      <c r="F137"/>
      <c r="H137"/>
      <c r="J137"/>
    </row>
    <row r="138" spans="1:10" ht="15.75" x14ac:dyDescent="0.2">
      <c r="A138" s="130"/>
      <c r="B138" s="130"/>
      <c r="C138" s="128"/>
      <c r="D138" s="128"/>
      <c r="F138"/>
      <c r="H138"/>
      <c r="J138"/>
    </row>
    <row r="139" spans="1:10" ht="15.75" x14ac:dyDescent="0.2">
      <c r="A139" s="130"/>
      <c r="B139" s="130"/>
      <c r="C139" s="128"/>
      <c r="D139" s="128"/>
      <c r="F139"/>
      <c r="H139"/>
      <c r="J139"/>
    </row>
    <row r="140" spans="1:10" ht="15.75" x14ac:dyDescent="0.2">
      <c r="A140" s="130"/>
      <c r="B140" s="130"/>
      <c r="C140" s="128"/>
      <c r="D140" s="128"/>
      <c r="F140"/>
      <c r="H140"/>
      <c r="J140"/>
    </row>
    <row r="141" spans="1:10" ht="15.75" x14ac:dyDescent="0.2">
      <c r="A141" s="130"/>
      <c r="B141" s="130"/>
      <c r="C141" s="128"/>
      <c r="D141" s="128"/>
      <c r="F141"/>
      <c r="H141"/>
      <c r="J141"/>
    </row>
    <row r="142" spans="1:10" ht="15.75" x14ac:dyDescent="0.2">
      <c r="A142" s="130"/>
      <c r="B142" s="130"/>
      <c r="C142" s="128"/>
      <c r="D142" s="128"/>
      <c r="F142"/>
      <c r="H142"/>
      <c r="J142"/>
    </row>
    <row r="143" spans="1:10" ht="15.75" x14ac:dyDescent="0.2">
      <c r="A143" s="130"/>
      <c r="B143" s="130"/>
      <c r="C143" s="128"/>
      <c r="D143" s="128"/>
      <c r="F143"/>
      <c r="H143"/>
      <c r="J143"/>
    </row>
    <row r="144" spans="1:10" ht="15.75" x14ac:dyDescent="0.2">
      <c r="A144" s="130"/>
      <c r="B144" s="130"/>
      <c r="C144" s="128"/>
      <c r="D144" s="128"/>
      <c r="F144"/>
      <c r="H144"/>
      <c r="J144"/>
    </row>
    <row r="145" spans="1:10" ht="15.75" x14ac:dyDescent="0.2">
      <c r="A145" s="130"/>
      <c r="B145" s="130"/>
      <c r="C145" s="128"/>
      <c r="D145" s="128"/>
      <c r="F145"/>
      <c r="H145"/>
      <c r="J145"/>
    </row>
    <row r="146" spans="1:10" ht="15.75" x14ac:dyDescent="0.2">
      <c r="A146" s="130"/>
      <c r="B146" s="130"/>
      <c r="C146" s="128"/>
      <c r="D146" s="128"/>
      <c r="F146"/>
      <c r="H146"/>
      <c r="J146"/>
    </row>
    <row r="147" spans="1:10" ht="15.75" x14ac:dyDescent="0.2">
      <c r="A147" s="130"/>
      <c r="B147" s="130"/>
      <c r="C147" s="128"/>
      <c r="D147" s="128"/>
      <c r="F147"/>
      <c r="H147"/>
      <c r="J147"/>
    </row>
    <row r="148" spans="1:10" ht="15.75" x14ac:dyDescent="0.2">
      <c r="A148" s="130"/>
      <c r="B148" s="130"/>
      <c r="C148" s="128"/>
      <c r="D148" s="128"/>
      <c r="F148"/>
      <c r="H148"/>
      <c r="J148"/>
    </row>
    <row r="149" spans="1:10" ht="15.75" x14ac:dyDescent="0.2">
      <c r="A149" s="130"/>
      <c r="B149" s="130"/>
      <c r="C149" s="128"/>
      <c r="D149" s="128"/>
      <c r="F149"/>
      <c r="H149"/>
      <c r="J149"/>
    </row>
    <row r="150" spans="1:10" ht="15.75" x14ac:dyDescent="0.2">
      <c r="A150" s="131"/>
      <c r="B150" s="132"/>
      <c r="C150" s="128"/>
      <c r="D150" s="128"/>
      <c r="F150"/>
      <c r="H150"/>
      <c r="J150"/>
    </row>
    <row r="151" spans="1:10" ht="15.75" x14ac:dyDescent="0.2">
      <c r="A151" s="132"/>
      <c r="B151" s="132"/>
      <c r="C151" s="128"/>
      <c r="D151" s="128"/>
      <c r="F151"/>
      <c r="H151"/>
      <c r="J151"/>
    </row>
    <row r="152" spans="1:10" ht="15.75" x14ac:dyDescent="0.2">
      <c r="A152" s="132"/>
      <c r="B152" s="132"/>
      <c r="C152" s="128"/>
      <c r="D152" s="128"/>
      <c r="F152"/>
      <c r="H152"/>
      <c r="J152"/>
    </row>
    <row r="153" spans="1:10" ht="15.75" x14ac:dyDescent="0.2">
      <c r="A153" s="132"/>
      <c r="B153" s="132"/>
      <c r="C153" s="128"/>
      <c r="D153" s="128"/>
      <c r="F153"/>
      <c r="H153"/>
      <c r="J153"/>
    </row>
    <row r="154" spans="1:10" ht="15.75" x14ac:dyDescent="0.2">
      <c r="A154" s="132"/>
      <c r="B154" s="132"/>
      <c r="C154" s="128"/>
      <c r="D154" s="128"/>
      <c r="F154"/>
      <c r="H154"/>
      <c r="J154"/>
    </row>
    <row r="155" spans="1:10" ht="15.75" x14ac:dyDescent="0.2">
      <c r="A155" s="132"/>
      <c r="B155" s="132"/>
      <c r="C155" s="128"/>
      <c r="D155" s="128"/>
      <c r="F155"/>
      <c r="H155"/>
      <c r="J155"/>
    </row>
    <row r="156" spans="1:10" ht="15.75" x14ac:dyDescent="0.2">
      <c r="A156" s="132"/>
      <c r="B156" s="132"/>
      <c r="C156" s="128"/>
      <c r="D156" s="128"/>
      <c r="F156"/>
      <c r="H156"/>
      <c r="J156"/>
    </row>
    <row r="157" spans="1:10" ht="15.75" x14ac:dyDescent="0.2">
      <c r="A157" s="132"/>
      <c r="B157" s="132"/>
      <c r="C157" s="128"/>
      <c r="D157" s="128"/>
      <c r="F157"/>
      <c r="H157"/>
      <c r="J157"/>
    </row>
    <row r="158" spans="1:10" ht="15.75" x14ac:dyDescent="0.2">
      <c r="A158" s="132"/>
      <c r="B158" s="132"/>
      <c r="C158" s="128"/>
      <c r="D158" s="128"/>
      <c r="F158"/>
      <c r="H158"/>
      <c r="J158"/>
    </row>
    <row r="159" spans="1:10" ht="15.75" x14ac:dyDescent="0.2">
      <c r="A159" s="132"/>
      <c r="B159" s="132"/>
      <c r="C159" s="128"/>
      <c r="D159" s="128"/>
      <c r="F159"/>
      <c r="H159"/>
      <c r="J159"/>
    </row>
    <row r="160" spans="1:10" ht="15.75" x14ac:dyDescent="0.2">
      <c r="A160" s="132"/>
      <c r="B160" s="132"/>
      <c r="C160" s="128"/>
      <c r="D160" s="128"/>
      <c r="F160"/>
      <c r="H160"/>
      <c r="J160"/>
    </row>
    <row r="161" spans="1:10" ht="15.75" x14ac:dyDescent="0.2">
      <c r="A161" s="132"/>
      <c r="B161" s="132"/>
      <c r="C161" s="128"/>
      <c r="D161" s="128"/>
      <c r="F161"/>
      <c r="H161"/>
      <c r="J161"/>
    </row>
    <row r="162" spans="1:10" ht="15.75" x14ac:dyDescent="0.2">
      <c r="A162" s="132"/>
      <c r="B162" s="132"/>
      <c r="C162" s="128"/>
      <c r="D162" s="128"/>
      <c r="F162"/>
      <c r="H162"/>
      <c r="J162"/>
    </row>
    <row r="163" spans="1:10" ht="15.75" x14ac:dyDescent="0.2">
      <c r="A163" s="132"/>
      <c r="B163" s="132"/>
      <c r="C163" s="128"/>
      <c r="D163" s="128"/>
      <c r="F163"/>
      <c r="H163"/>
      <c r="J163"/>
    </row>
    <row r="164" spans="1:10" ht="15.75" x14ac:dyDescent="0.2">
      <c r="A164" s="132"/>
      <c r="B164" s="132"/>
      <c r="C164" s="128"/>
      <c r="D164" s="128"/>
      <c r="F164"/>
      <c r="H164"/>
      <c r="J164"/>
    </row>
    <row r="165" spans="1:10" ht="15.75" x14ac:dyDescent="0.2">
      <c r="A165" s="132"/>
      <c r="B165" s="132"/>
      <c r="C165" s="128"/>
      <c r="D165" s="128"/>
      <c r="F165"/>
      <c r="H165"/>
      <c r="J165"/>
    </row>
    <row r="166" spans="1:10" ht="15.75" x14ac:dyDescent="0.2">
      <c r="A166" s="132"/>
      <c r="B166" s="132"/>
      <c r="C166" s="128"/>
      <c r="D166" s="128"/>
      <c r="F166"/>
      <c r="H166"/>
      <c r="J166"/>
    </row>
    <row r="167" spans="1:10" ht="15.75" x14ac:dyDescent="0.2">
      <c r="A167" s="132"/>
      <c r="B167" s="131"/>
      <c r="C167" s="128"/>
      <c r="D167" s="128"/>
      <c r="F167"/>
      <c r="H167"/>
      <c r="J167"/>
    </row>
    <row r="168" spans="1:10" ht="15.75" x14ac:dyDescent="0.2">
      <c r="A168" s="132"/>
      <c r="B168" s="132"/>
      <c r="C168" s="128"/>
      <c r="D168" s="128"/>
      <c r="F168"/>
      <c r="H168"/>
      <c r="J168"/>
    </row>
    <row r="169" spans="1:10" ht="15.75" x14ac:dyDescent="0.2">
      <c r="A169" s="132"/>
      <c r="B169" s="132"/>
      <c r="C169" s="128"/>
      <c r="D169" s="128"/>
      <c r="F169"/>
      <c r="H169"/>
      <c r="J169"/>
    </row>
    <row r="170" spans="1:10" ht="15.75" x14ac:dyDescent="0.2">
      <c r="A170" s="132"/>
      <c r="B170" s="132"/>
      <c r="C170" s="128"/>
      <c r="D170" s="128"/>
      <c r="F170"/>
      <c r="H170"/>
      <c r="J170"/>
    </row>
    <row r="171" spans="1:10" ht="15.75" x14ac:dyDescent="0.2">
      <c r="A171" s="132"/>
      <c r="B171" s="132"/>
      <c r="C171" s="128"/>
      <c r="D171" s="128"/>
      <c r="F171"/>
      <c r="H171"/>
      <c r="J171"/>
    </row>
    <row r="172" spans="1:10" ht="15.75" x14ac:dyDescent="0.2">
      <c r="A172" s="132"/>
      <c r="B172" s="132"/>
      <c r="C172" s="128"/>
      <c r="D172" s="128"/>
      <c r="F172"/>
      <c r="H172"/>
      <c r="J172"/>
    </row>
    <row r="173" spans="1:10" ht="15.75" x14ac:dyDescent="0.2">
      <c r="A173" s="132"/>
      <c r="B173" s="132"/>
      <c r="C173" s="128"/>
      <c r="D173" s="128"/>
      <c r="F173"/>
      <c r="H173"/>
      <c r="J173"/>
    </row>
    <row r="174" spans="1:10" ht="15.75" x14ac:dyDescent="0.2">
      <c r="A174" s="132"/>
      <c r="B174" s="132"/>
      <c r="C174" s="128"/>
      <c r="D174" s="128"/>
      <c r="F174"/>
      <c r="H174"/>
      <c r="J174"/>
    </row>
    <row r="175" spans="1:10" ht="15.75" x14ac:dyDescent="0.2">
      <c r="A175" s="132"/>
      <c r="B175" s="132"/>
      <c r="C175" s="128"/>
      <c r="D175" s="128"/>
      <c r="F175"/>
      <c r="H175"/>
      <c r="J175"/>
    </row>
    <row r="176" spans="1:10" ht="15.75" x14ac:dyDescent="0.2">
      <c r="A176" s="132"/>
      <c r="B176" s="132"/>
      <c r="C176" s="128"/>
      <c r="D176" s="128"/>
      <c r="F176"/>
      <c r="H176"/>
      <c r="J176"/>
    </row>
    <row r="177" spans="1:10" ht="15.75" x14ac:dyDescent="0.2">
      <c r="A177" s="132"/>
      <c r="B177" s="132"/>
      <c r="C177" s="128"/>
      <c r="D177" s="128"/>
      <c r="F177"/>
      <c r="H177"/>
      <c r="J177"/>
    </row>
    <row r="178" spans="1:10" ht="15.75" x14ac:dyDescent="0.2">
      <c r="A178" s="132"/>
      <c r="B178" s="129"/>
      <c r="C178" s="128"/>
      <c r="D178" s="128"/>
      <c r="F178"/>
      <c r="H178"/>
      <c r="J178"/>
    </row>
  </sheetData>
  <mergeCells count="3">
    <mergeCell ref="A24:B24"/>
    <mergeCell ref="D24:H24"/>
    <mergeCell ref="J24:N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17" activePane="bottomLeft" state="frozen"/>
      <selection activeCell="A4" sqref="A4"/>
      <selection pane="bottomLeft" activeCell="F29" sqref="F29"/>
    </sheetView>
  </sheetViews>
  <sheetFormatPr defaultRowHeight="12.75" x14ac:dyDescent="0.2"/>
  <cols>
    <col min="1" max="2" width="12" style="67" customWidth="1"/>
    <col min="3" max="3" width="2.7109375" customWidth="1"/>
    <col min="4" max="4" width="12" style="68" customWidth="1"/>
    <col min="5" max="5" width="2.7109375" customWidth="1"/>
    <col min="6" max="6" width="12" style="69" customWidth="1"/>
    <col min="7" max="7" width="2.7109375" customWidth="1"/>
    <col min="8" max="8" width="12" style="69" customWidth="1"/>
    <col min="9" max="9" width="2.7109375" customWidth="1"/>
    <col min="10" max="10" width="12" style="68" customWidth="1"/>
    <col min="11" max="11" width="2.7109375" customWidth="1"/>
    <col min="12" max="12" width="12" customWidth="1"/>
    <col min="13" max="13" width="2.7109375" customWidth="1"/>
    <col min="14" max="14" width="12" customWidth="1"/>
  </cols>
  <sheetData>
    <row r="1" spans="1:2" s="1" customFormat="1" ht="19.5" x14ac:dyDescent="0.25">
      <c r="A1" s="63" t="s">
        <v>211</v>
      </c>
    </row>
    <row r="2" spans="1:2" s="1" customFormat="1" x14ac:dyDescent="0.2">
      <c r="A2" s="1" t="s">
        <v>214</v>
      </c>
    </row>
    <row r="3" spans="1:2" s="1" customFormat="1" x14ac:dyDescent="0.2"/>
    <row r="4" spans="1:2" s="1" customFormat="1" x14ac:dyDescent="0.2"/>
    <row r="5" spans="1:2" s="1" customFormat="1" ht="14.25" x14ac:dyDescent="0.2">
      <c r="A5" s="64" t="s">
        <v>55</v>
      </c>
    </row>
    <row r="6" spans="1:2" s="1" customFormat="1" x14ac:dyDescent="0.2"/>
    <row r="7" spans="1:2" s="1" customFormat="1" ht="15" x14ac:dyDescent="0.2">
      <c r="A7" s="65" t="s">
        <v>56</v>
      </c>
      <c r="B7" s="1" t="s">
        <v>57</v>
      </c>
    </row>
    <row r="8" spans="1:2" s="1" customFormat="1" ht="15" x14ac:dyDescent="0.2">
      <c r="A8" s="65" t="s">
        <v>58</v>
      </c>
      <c r="B8" s="1" t="s">
        <v>217</v>
      </c>
    </row>
    <row r="9" spans="1:2" s="1" customFormat="1" ht="15" x14ac:dyDescent="0.2">
      <c r="A9" s="66"/>
      <c r="B9" s="1" t="s">
        <v>59</v>
      </c>
    </row>
    <row r="10" spans="1:2" s="1" customFormat="1" ht="15" x14ac:dyDescent="0.2">
      <c r="A10" s="66"/>
      <c r="B10" s="10" t="s">
        <v>60</v>
      </c>
    </row>
    <row r="11" spans="1:2" s="1" customFormat="1" ht="15" x14ac:dyDescent="0.2">
      <c r="A11" s="66"/>
      <c r="B11" s="10" t="s">
        <v>61</v>
      </c>
    </row>
    <row r="12" spans="1:2" s="1" customFormat="1" ht="15" x14ac:dyDescent="0.2">
      <c r="A12" s="65" t="s">
        <v>62</v>
      </c>
      <c r="B12" s="1" t="s">
        <v>218</v>
      </c>
    </row>
    <row r="13" spans="1:2" s="1" customFormat="1" x14ac:dyDescent="0.2">
      <c r="B13" s="1" t="s">
        <v>59</v>
      </c>
    </row>
    <row r="14" spans="1:2" s="1" customFormat="1" x14ac:dyDescent="0.2">
      <c r="B14" s="10" t="s">
        <v>60</v>
      </c>
    </row>
    <row r="15" spans="1:2" s="1" customFormat="1" x14ac:dyDescent="0.2">
      <c r="B15" s="10" t="s">
        <v>61</v>
      </c>
    </row>
    <row r="16" spans="1:2" s="1" customFormat="1" x14ac:dyDescent="0.2">
      <c r="B16" s="10"/>
    </row>
    <row r="17" spans="1:14" s="1" customFormat="1" x14ac:dyDescent="0.2">
      <c r="B17" s="10"/>
    </row>
    <row r="18" spans="1:14" x14ac:dyDescent="0.2">
      <c r="F18" s="69" t="s">
        <v>63</v>
      </c>
      <c r="J18" s="70"/>
    </row>
    <row r="19" spans="1:14" x14ac:dyDescent="0.2">
      <c r="A19" s="69" t="s">
        <v>64</v>
      </c>
      <c r="D19" s="337">
        <f>'Tabel 2021 52 weken'!$D$19</f>
        <v>8.17</v>
      </c>
      <c r="F19" s="250">
        <f>IF(F28-D19&gt;0,F28-D19,0)</f>
        <v>0.5600000000000005</v>
      </c>
      <c r="L19" s="71"/>
      <c r="N19" s="69"/>
    </row>
    <row r="20" spans="1:14" x14ac:dyDescent="0.2">
      <c r="A20" s="69" t="s">
        <v>65</v>
      </c>
      <c r="D20" s="337">
        <f>'Tabel 2021 52 weken'!$D$20</f>
        <v>7.02</v>
      </c>
      <c r="F20" s="69">
        <f>H28-D20</f>
        <v>0.60000000000000053</v>
      </c>
      <c r="J20" s="70"/>
      <c r="N20" s="69"/>
    </row>
    <row r="21" spans="1:14" x14ac:dyDescent="0.2">
      <c r="A21" s="69"/>
      <c r="D21" s="69"/>
      <c r="N21" s="69"/>
    </row>
    <row r="22" spans="1:14" x14ac:dyDescent="0.2">
      <c r="A22" s="69"/>
      <c r="D22" s="69"/>
      <c r="N22" s="69"/>
    </row>
    <row r="23" spans="1:14" x14ac:dyDescent="0.2">
      <c r="A23" s="69"/>
      <c r="D23" s="69"/>
      <c r="G23" s="69"/>
      <c r="N23" s="69"/>
    </row>
    <row r="24" spans="1:14" ht="15" x14ac:dyDescent="0.2">
      <c r="A24" s="348" t="s">
        <v>66</v>
      </c>
      <c r="B24" s="348"/>
      <c r="D24" s="349" t="s">
        <v>67</v>
      </c>
      <c r="E24" s="349"/>
      <c r="F24" s="349"/>
      <c r="G24" s="349"/>
      <c r="H24" s="349"/>
      <c r="I24" s="72"/>
      <c r="J24" s="350" t="s">
        <v>68</v>
      </c>
      <c r="K24" s="350"/>
      <c r="L24" s="350"/>
      <c r="M24" s="350"/>
      <c r="N24" s="350"/>
    </row>
    <row r="25" spans="1:14" x14ac:dyDescent="0.2">
      <c r="A25" s="73" t="s">
        <v>69</v>
      </c>
      <c r="B25" s="73"/>
      <c r="D25" s="251" t="s">
        <v>70</v>
      </c>
      <c r="E25" s="74"/>
      <c r="F25" s="75"/>
      <c r="G25" s="74"/>
      <c r="H25" s="75"/>
      <c r="J25" s="252" t="s">
        <v>70</v>
      </c>
      <c r="K25" s="76"/>
      <c r="L25" s="76"/>
      <c r="M25" s="76"/>
      <c r="N25" s="76"/>
    </row>
    <row r="26" spans="1:14" x14ac:dyDescent="0.2">
      <c r="A26" s="73" t="s">
        <v>71</v>
      </c>
      <c r="B26" s="73"/>
      <c r="D26" s="251" t="s">
        <v>72</v>
      </c>
      <c r="E26" s="74"/>
      <c r="F26" s="77" t="s">
        <v>73</v>
      </c>
      <c r="G26" s="78"/>
      <c r="H26" s="77" t="s">
        <v>74</v>
      </c>
      <c r="J26" s="252" t="s">
        <v>72</v>
      </c>
      <c r="K26" s="76"/>
      <c r="L26" s="79" t="s">
        <v>75</v>
      </c>
      <c r="M26" s="76"/>
      <c r="N26" s="79" t="s">
        <v>76</v>
      </c>
    </row>
    <row r="27" spans="1:14" x14ac:dyDescent="0.2">
      <c r="A27" s="73"/>
      <c r="B27" s="73"/>
      <c r="D27" s="80"/>
      <c r="E27" s="74"/>
      <c r="F27" s="81" t="s">
        <v>77</v>
      </c>
      <c r="G27" s="82"/>
      <c r="H27" s="81" t="s">
        <v>78</v>
      </c>
      <c r="J27" s="83"/>
      <c r="K27" s="76"/>
      <c r="L27" s="84" t="s">
        <v>77</v>
      </c>
      <c r="M27" s="85"/>
      <c r="N27" s="84" t="s">
        <v>78</v>
      </c>
    </row>
    <row r="28" spans="1:14" x14ac:dyDescent="0.2">
      <c r="A28" s="73"/>
      <c r="B28" s="73"/>
      <c r="D28" s="80"/>
      <c r="E28" s="74"/>
      <c r="F28" s="249">
        <v>8.73</v>
      </c>
      <c r="G28" s="82"/>
      <c r="H28" s="249">
        <v>7.62</v>
      </c>
      <c r="J28" s="83"/>
      <c r="K28" s="76"/>
      <c r="L28" s="86">
        <f>F28</f>
        <v>8.73</v>
      </c>
      <c r="M28" s="76"/>
      <c r="N28" s="86">
        <f>H28</f>
        <v>7.62</v>
      </c>
    </row>
    <row r="29" spans="1:14" ht="13.5" thickBot="1" x14ac:dyDescent="0.25">
      <c r="A29" s="73"/>
      <c r="B29" s="73"/>
      <c r="D29" s="80"/>
      <c r="E29" s="74"/>
      <c r="F29" s="75"/>
      <c r="G29" s="74"/>
      <c r="H29" s="75"/>
      <c r="J29" s="83"/>
      <c r="K29" s="76"/>
      <c r="L29" s="76"/>
      <c r="M29" s="76"/>
      <c r="N29" s="76"/>
    </row>
    <row r="30" spans="1:14" x14ac:dyDescent="0.2">
      <c r="A30" s="87" t="s">
        <v>79</v>
      </c>
      <c r="B30" s="87" t="s">
        <v>80</v>
      </c>
      <c r="C30" s="1"/>
      <c r="D30" s="254" t="s">
        <v>81</v>
      </c>
      <c r="E30" s="88"/>
      <c r="F30" s="89" t="s">
        <v>82</v>
      </c>
      <c r="G30" s="88"/>
      <c r="H30" s="89" t="s">
        <v>82</v>
      </c>
      <c r="J30" s="255" t="s">
        <v>83</v>
      </c>
      <c r="K30" s="76"/>
      <c r="L30" s="90" t="s">
        <v>82</v>
      </c>
      <c r="M30" s="76"/>
      <c r="N30" s="90" t="s">
        <v>82</v>
      </c>
    </row>
    <row r="31" spans="1:14" ht="13.5" thickBot="1" x14ac:dyDescent="0.25">
      <c r="A31" s="91"/>
      <c r="B31" s="91"/>
      <c r="C31" s="1"/>
      <c r="D31" s="256" t="s">
        <v>84</v>
      </c>
      <c r="E31" s="88"/>
      <c r="F31" s="92" t="s">
        <v>85</v>
      </c>
      <c r="G31" s="88"/>
      <c r="H31" s="92" t="s">
        <v>85</v>
      </c>
      <c r="J31" s="257" t="s">
        <v>86</v>
      </c>
      <c r="K31" s="76"/>
      <c r="L31" s="93" t="s">
        <v>85</v>
      </c>
      <c r="M31" s="76"/>
      <c r="N31" s="93" t="s">
        <v>85</v>
      </c>
    </row>
    <row r="32" spans="1:14" x14ac:dyDescent="0.2">
      <c r="A32" s="73"/>
      <c r="B32" s="73"/>
      <c r="D32" s="80"/>
      <c r="E32" s="74"/>
      <c r="F32" s="75"/>
      <c r="G32" s="74"/>
      <c r="H32" s="75"/>
      <c r="J32" s="83"/>
      <c r="K32" s="76"/>
      <c r="L32" s="76"/>
      <c r="M32" s="76"/>
      <c r="N32" s="76"/>
    </row>
    <row r="33" spans="1:23" ht="15" x14ac:dyDescent="0.2">
      <c r="A33" s="191" t="str">
        <f>+'Tabel 2021 52 weken incl. 27,5 '!A33</f>
        <v>lager dan</v>
      </c>
      <c r="B33" s="191">
        <f>+'Tabel 2021 52 weken incl. 27,5 '!B33</f>
        <v>20302</v>
      </c>
      <c r="C33" s="1"/>
      <c r="D33" s="136">
        <f>+'Tabel 2021 52 weken incl. 27,5 '!D33</f>
        <v>0.96</v>
      </c>
      <c r="E33" s="134"/>
      <c r="F33" s="95">
        <f>IF($D$19&gt;=$F$28,($F$28*(100%-D33))+($F$19),$D$19*(100%-D33)+$F$19)</f>
        <v>0.88680000000000081</v>
      </c>
      <c r="G33" s="94"/>
      <c r="H33" s="95">
        <f>IF($D$20&gt;=$H$28,($H$28*(100%-D33))+($F$20),$D$20*(100%-D33)+($F$20))</f>
        <v>0.88080000000000069</v>
      </c>
      <c r="I33" s="1"/>
      <c r="J33" s="137">
        <f>+'Tabel 2021 52 weken incl. 27,5 '!J33</f>
        <v>0.96</v>
      </c>
      <c r="K33" s="135"/>
      <c r="L33" s="97">
        <f>IF($D$19&gt;=$L$28,($L$28*(100%-J33))+(F$19),$D$19*(100%-J33)+$F$19)</f>
        <v>0.88680000000000081</v>
      </c>
      <c r="M33" s="96"/>
      <c r="N33" s="97">
        <f>IF($D$20&gt;=$H$28,($H$28*(100%-J33))+($F$20),$D$20*(100%-J33)+($F$20))</f>
        <v>0.88080000000000069</v>
      </c>
      <c r="P33" s="258"/>
    </row>
    <row r="34" spans="1:23" ht="15" x14ac:dyDescent="0.2">
      <c r="A34" s="191">
        <f>+'Tabel 2021 52 weken incl. 27,5 '!A34</f>
        <v>20303</v>
      </c>
      <c r="B34" s="191">
        <f>+'Tabel 2021 52 weken incl. 27,5 '!B34</f>
        <v>21654</v>
      </c>
      <c r="C34" s="1"/>
      <c r="D34" s="136">
        <f>+'Tabel 2021 52 weken incl. 27,5 '!D34</f>
        <v>0.96</v>
      </c>
      <c r="E34" s="134"/>
      <c r="F34" s="95">
        <f t="shared" ref="F34:F97" si="0">IF($D$19&gt;=$F$28,($F$28*(100%-D34))+($F$19),$D$19*(100%-D34)+$F$19)</f>
        <v>0.88680000000000081</v>
      </c>
      <c r="G34" s="94"/>
      <c r="H34" s="95">
        <f t="shared" ref="H34:H97" si="1">IF($D$20&gt;=$H$28,($H$28*(100%-D34))+($F$20),$D$20*(100%-D34)+($F$20))</f>
        <v>0.88080000000000069</v>
      </c>
      <c r="I34" s="1"/>
      <c r="J34" s="137">
        <f>+'Tabel 2021 52 weken incl. 27,5 '!J34</f>
        <v>0.96</v>
      </c>
      <c r="K34" s="135"/>
      <c r="L34" s="97">
        <f t="shared" ref="L34:L97" si="2">IF($D$19&gt;=$L$28,($L$28*(100%-J34))+(F$19),$D$19*(100%-J34)+$F$19)</f>
        <v>0.88680000000000081</v>
      </c>
      <c r="M34" s="96"/>
      <c r="N34" s="97">
        <f t="shared" ref="N34:N97" si="3">IF($D$20&gt;=$H$28,($H$28*(100%-J34))+($F$20),$D$20*(100%-J34)+($F$20))</f>
        <v>0.88080000000000069</v>
      </c>
    </row>
    <row r="35" spans="1:23" ht="15" x14ac:dyDescent="0.2">
      <c r="A35" s="191">
        <f>+'Tabel 2021 52 weken incl. 27,5 '!A35</f>
        <v>21655</v>
      </c>
      <c r="B35" s="191">
        <f>+'Tabel 2021 52 weken incl. 27,5 '!B35</f>
        <v>23004</v>
      </c>
      <c r="C35" s="1"/>
      <c r="D35" s="136">
        <f>+'Tabel 2021 52 weken incl. 27,5 '!D35</f>
        <v>0.96</v>
      </c>
      <c r="E35" s="134"/>
      <c r="F35" s="95">
        <f t="shared" si="0"/>
        <v>0.88680000000000081</v>
      </c>
      <c r="G35" s="94"/>
      <c r="H35" s="95">
        <f t="shared" si="1"/>
        <v>0.88080000000000069</v>
      </c>
      <c r="I35" s="1"/>
      <c r="J35" s="137">
        <f>+'Tabel 2021 52 weken incl. 27,5 '!J35</f>
        <v>0.96</v>
      </c>
      <c r="K35" s="135"/>
      <c r="L35" s="97">
        <f t="shared" si="2"/>
        <v>0.88680000000000081</v>
      </c>
      <c r="M35" s="96"/>
      <c r="N35" s="97">
        <f t="shared" si="3"/>
        <v>0.88080000000000069</v>
      </c>
      <c r="R35" s="98"/>
    </row>
    <row r="36" spans="1:23" ht="15" x14ac:dyDescent="0.2">
      <c r="A36" s="191">
        <f>+'Tabel 2021 52 weken incl. 27,5 '!A36</f>
        <v>23005</v>
      </c>
      <c r="B36" s="191">
        <f>+'Tabel 2021 52 weken incl. 27,5 '!B36</f>
        <v>24357</v>
      </c>
      <c r="C36" s="1"/>
      <c r="D36" s="136">
        <f>+'Tabel 2021 52 weken incl. 27,5 '!D36</f>
        <v>0.96</v>
      </c>
      <c r="E36" s="134"/>
      <c r="F36" s="95">
        <f t="shared" si="0"/>
        <v>0.88680000000000081</v>
      </c>
      <c r="G36" s="94"/>
      <c r="H36" s="95">
        <f t="shared" si="1"/>
        <v>0.88080000000000069</v>
      </c>
      <c r="I36" s="1"/>
      <c r="J36" s="137">
        <f>+'Tabel 2021 52 weken incl. 27,5 '!J36</f>
        <v>0.96</v>
      </c>
      <c r="K36" s="135"/>
      <c r="L36" s="97">
        <f t="shared" si="2"/>
        <v>0.88680000000000081</v>
      </c>
      <c r="M36" s="96"/>
      <c r="N36" s="97">
        <f t="shared" si="3"/>
        <v>0.88080000000000069</v>
      </c>
    </row>
    <row r="37" spans="1:23" ht="15" x14ac:dyDescent="0.2">
      <c r="A37" s="191">
        <f>+'Tabel 2021 52 weken incl. 27,5 '!A37</f>
        <v>24358</v>
      </c>
      <c r="B37" s="191">
        <f>+'Tabel 2021 52 weken incl. 27,5 '!B37</f>
        <v>25709</v>
      </c>
      <c r="C37" s="1"/>
      <c r="D37" s="136">
        <f>+'Tabel 2021 52 weken incl. 27,5 '!D37</f>
        <v>0.96</v>
      </c>
      <c r="E37" s="134"/>
      <c r="F37" s="95">
        <f t="shared" si="0"/>
        <v>0.88680000000000081</v>
      </c>
      <c r="G37" s="94"/>
      <c r="H37" s="95">
        <f t="shared" si="1"/>
        <v>0.88080000000000069</v>
      </c>
      <c r="I37" s="1"/>
      <c r="J37" s="137">
        <f>+'Tabel 2021 52 weken incl. 27,5 '!J37</f>
        <v>0.96</v>
      </c>
      <c r="K37" s="135"/>
      <c r="L37" s="97">
        <f t="shared" si="2"/>
        <v>0.88680000000000081</v>
      </c>
      <c r="M37" s="96"/>
      <c r="N37" s="97">
        <f t="shared" si="3"/>
        <v>0.88080000000000069</v>
      </c>
    </row>
    <row r="38" spans="1:23" ht="15" x14ac:dyDescent="0.2">
      <c r="A38" s="191">
        <f>+'Tabel 2021 52 weken incl. 27,5 '!A38</f>
        <v>25710</v>
      </c>
      <c r="B38" s="191">
        <f>+'Tabel 2021 52 weken incl. 27,5 '!B38</f>
        <v>27061</v>
      </c>
      <c r="C38" s="1"/>
      <c r="D38" s="136">
        <f>+'Tabel 2021 52 weken incl. 27,5 '!D38</f>
        <v>0.95599999999999996</v>
      </c>
      <c r="E38" s="134"/>
      <c r="F38" s="95">
        <f t="shared" si="0"/>
        <v>0.91948000000000074</v>
      </c>
      <c r="G38" s="94"/>
      <c r="H38" s="95">
        <f t="shared" si="1"/>
        <v>0.9088800000000008</v>
      </c>
      <c r="I38" s="1"/>
      <c r="J38" s="137">
        <f>+'Tabel 2021 52 weken incl. 27,5 '!J38</f>
        <v>0.95699999999999996</v>
      </c>
      <c r="K38" s="135"/>
      <c r="L38" s="97">
        <f t="shared" si="2"/>
        <v>0.91131000000000073</v>
      </c>
      <c r="M38" s="96"/>
      <c r="N38" s="97">
        <f t="shared" si="3"/>
        <v>0.90186000000000077</v>
      </c>
    </row>
    <row r="39" spans="1:23" ht="15" x14ac:dyDescent="0.2">
      <c r="A39" s="191">
        <f>+'Tabel 2021 52 weken incl. 27,5 '!A39</f>
        <v>27062</v>
      </c>
      <c r="B39" s="191">
        <f>+'Tabel 2021 52 weken incl. 27,5 '!B39</f>
        <v>28412</v>
      </c>
      <c r="C39" s="1"/>
      <c r="D39" s="136">
        <f>+'Tabel 2021 52 weken incl. 27,5 '!D39</f>
        <v>0.94499999999999995</v>
      </c>
      <c r="E39" s="134"/>
      <c r="F39" s="95">
        <f t="shared" si="0"/>
        <v>1.0093500000000009</v>
      </c>
      <c r="G39" s="94"/>
      <c r="H39" s="95">
        <f t="shared" si="1"/>
        <v>0.98610000000000086</v>
      </c>
      <c r="I39" s="1"/>
      <c r="J39" s="137">
        <f>+'Tabel 2021 52 weken incl. 27,5 '!J39</f>
        <v>0.95499999999999996</v>
      </c>
      <c r="K39" s="135"/>
      <c r="L39" s="97">
        <f t="shared" si="2"/>
        <v>0.92765000000000075</v>
      </c>
      <c r="M39" s="96"/>
      <c r="N39" s="97">
        <f t="shared" si="3"/>
        <v>0.91590000000000082</v>
      </c>
    </row>
    <row r="40" spans="1:23" ht="15" x14ac:dyDescent="0.2">
      <c r="A40" s="191">
        <f>+'Tabel 2021 52 weken incl. 27,5 '!A40</f>
        <v>28413</v>
      </c>
      <c r="B40" s="191">
        <f>+'Tabel 2021 52 weken incl. 27,5 '!B40</f>
        <v>29760</v>
      </c>
      <c r="C40" s="1"/>
      <c r="D40" s="136">
        <f>+'Tabel 2021 52 weken incl. 27,5 '!D40</f>
        <v>0.93500000000000005</v>
      </c>
      <c r="E40" s="134"/>
      <c r="F40" s="95">
        <f t="shared" si="0"/>
        <v>1.0910500000000001</v>
      </c>
      <c r="G40" s="94"/>
      <c r="H40" s="95">
        <f t="shared" si="1"/>
        <v>1.0563000000000002</v>
      </c>
      <c r="I40" s="1"/>
      <c r="J40" s="137">
        <f>+'Tabel 2021 52 weken incl. 27,5 '!J40</f>
        <v>0.95299999999999996</v>
      </c>
      <c r="K40" s="135"/>
      <c r="L40" s="97">
        <f t="shared" si="2"/>
        <v>0.94399000000000077</v>
      </c>
      <c r="M40" s="96"/>
      <c r="N40" s="97">
        <f t="shared" si="3"/>
        <v>0.92994000000000088</v>
      </c>
    </row>
    <row r="41" spans="1:23" ht="15" x14ac:dyDescent="0.2">
      <c r="A41" s="191">
        <f>+'Tabel 2021 52 weken incl. 27,5 '!A41</f>
        <v>29761</v>
      </c>
      <c r="B41" s="191">
        <f>+'Tabel 2021 52 weken incl. 27,5 '!B41</f>
        <v>31214</v>
      </c>
      <c r="C41" s="1"/>
      <c r="D41" s="136">
        <f>+'Tabel 2021 52 weken incl. 27,5 '!D41</f>
        <v>0.92600000000000005</v>
      </c>
      <c r="E41" s="134"/>
      <c r="F41" s="95">
        <f t="shared" si="0"/>
        <v>1.1645800000000002</v>
      </c>
      <c r="G41" s="94"/>
      <c r="H41" s="95">
        <f t="shared" si="1"/>
        <v>1.1194800000000003</v>
      </c>
      <c r="I41" s="1"/>
      <c r="J41" s="137">
        <f>+'Tabel 2021 52 weken incl. 27,5 '!J41</f>
        <v>0.95099999999999996</v>
      </c>
      <c r="K41" s="135"/>
      <c r="L41" s="97">
        <f t="shared" si="2"/>
        <v>0.96033000000000079</v>
      </c>
      <c r="M41" s="96"/>
      <c r="N41" s="97">
        <f t="shared" si="3"/>
        <v>0.94398000000000082</v>
      </c>
    </row>
    <row r="42" spans="1:23" ht="15" x14ac:dyDescent="0.2">
      <c r="A42" s="191">
        <f>+'Tabel 2021 52 weken incl. 27,5 '!A42</f>
        <v>31215</v>
      </c>
      <c r="B42" s="191">
        <f>+'Tabel 2021 52 weken incl. 27,5 '!B42</f>
        <v>32666</v>
      </c>
      <c r="C42" s="1"/>
      <c r="D42" s="136">
        <f>+'Tabel 2021 52 weken incl. 27,5 '!D42</f>
        <v>0.92</v>
      </c>
      <c r="E42" s="134"/>
      <c r="F42" s="95">
        <f t="shared" si="0"/>
        <v>1.2136</v>
      </c>
      <c r="G42" s="94"/>
      <c r="H42" s="95">
        <f t="shared" si="1"/>
        <v>1.1616000000000002</v>
      </c>
      <c r="I42" s="1"/>
      <c r="J42" s="137">
        <f>+'Tabel 2021 52 weken incl. 27,5 '!J42</f>
        <v>0.95</v>
      </c>
      <c r="K42" s="135"/>
      <c r="L42" s="97">
        <f t="shared" si="2"/>
        <v>0.9685000000000008</v>
      </c>
      <c r="M42" s="96"/>
      <c r="N42" s="97">
        <f t="shared" si="3"/>
        <v>0.95100000000000084</v>
      </c>
    </row>
    <row r="43" spans="1:23" ht="15" x14ac:dyDescent="0.2">
      <c r="A43" s="191">
        <f>+'Tabel 2021 52 weken incl. 27,5 '!A43</f>
        <v>32668</v>
      </c>
      <c r="B43" s="191">
        <f>+'Tabel 2021 52 weken incl. 27,5 '!B43</f>
        <v>34122</v>
      </c>
      <c r="C43" s="1"/>
      <c r="D43" s="136">
        <f>+'Tabel 2021 52 weken incl. 27,5 '!D43</f>
        <v>0.91</v>
      </c>
      <c r="E43" s="134"/>
      <c r="F43" s="95">
        <f t="shared" si="0"/>
        <v>1.2953000000000001</v>
      </c>
      <c r="G43" s="94"/>
      <c r="H43" s="95">
        <f t="shared" si="1"/>
        <v>1.2318000000000002</v>
      </c>
      <c r="I43" s="1"/>
      <c r="J43" s="137">
        <f>+'Tabel 2021 52 weken incl. 27,5 '!J43</f>
        <v>0.94799999999999995</v>
      </c>
      <c r="K43" s="135"/>
      <c r="L43" s="97">
        <f t="shared" si="2"/>
        <v>0.98484000000000083</v>
      </c>
      <c r="M43" s="96"/>
      <c r="N43" s="97">
        <f t="shared" si="3"/>
        <v>0.96504000000000079</v>
      </c>
    </row>
    <row r="44" spans="1:23" ht="15" x14ac:dyDescent="0.2">
      <c r="A44" s="191">
        <f>+'Tabel 2021 52 weken incl. 27,5 '!A44</f>
        <v>34123</v>
      </c>
      <c r="B44" s="191">
        <f>+'Tabel 2021 52 weken incl. 27,5 '!B44</f>
        <v>35574</v>
      </c>
      <c r="C44" s="1"/>
      <c r="D44" s="136">
        <f>+'Tabel 2021 52 weken incl. 27,5 '!D44</f>
        <v>0.90500000000000003</v>
      </c>
      <c r="E44" s="134"/>
      <c r="F44" s="95">
        <f t="shared" si="0"/>
        <v>1.3361500000000004</v>
      </c>
      <c r="G44" s="94"/>
      <c r="H44" s="95">
        <f t="shared" si="1"/>
        <v>1.2669000000000004</v>
      </c>
      <c r="I44" s="1"/>
      <c r="J44" s="137">
        <f>+'Tabel 2021 52 weken incl. 27,5 '!J44</f>
        <v>0.94599999999999995</v>
      </c>
      <c r="K44" s="135"/>
      <c r="L44" s="97">
        <f t="shared" si="2"/>
        <v>1.0011800000000008</v>
      </c>
      <c r="M44" s="96"/>
      <c r="N44" s="97">
        <f t="shared" si="3"/>
        <v>0.97908000000000084</v>
      </c>
    </row>
    <row r="45" spans="1:23" ht="15" x14ac:dyDescent="0.2">
      <c r="A45" s="191">
        <f>+'Tabel 2021 52 weken incl. 27,5 '!A45</f>
        <v>35575</v>
      </c>
      <c r="B45" s="191">
        <f>+'Tabel 2021 52 weken incl. 27,5 '!B45</f>
        <v>37031</v>
      </c>
      <c r="C45" s="1"/>
      <c r="D45" s="136">
        <f>+'Tabel 2021 52 weken incl. 27,5 '!D45</f>
        <v>0.89700000000000002</v>
      </c>
      <c r="E45" s="134"/>
      <c r="F45" s="95">
        <f t="shared" si="0"/>
        <v>1.4015100000000005</v>
      </c>
      <c r="G45" s="94"/>
      <c r="H45" s="95">
        <f t="shared" si="1"/>
        <v>1.3230600000000003</v>
      </c>
      <c r="I45" s="1"/>
      <c r="J45" s="137">
        <f>+'Tabel 2021 52 weken incl. 27,5 '!J45</f>
        <v>0.94599999999999995</v>
      </c>
      <c r="K45" s="135"/>
      <c r="L45" s="97">
        <f t="shared" si="2"/>
        <v>1.0011800000000008</v>
      </c>
      <c r="M45" s="96"/>
      <c r="N45" s="97">
        <f t="shared" si="3"/>
        <v>0.97908000000000084</v>
      </c>
    </row>
    <row r="46" spans="1:23" ht="15" x14ac:dyDescent="0.2">
      <c r="A46" s="191">
        <f>+'Tabel 2021 52 weken incl. 27,5 '!A46</f>
        <v>37032</v>
      </c>
      <c r="B46" s="191">
        <f>+'Tabel 2021 52 weken incl. 27,5 '!B46</f>
        <v>38484</v>
      </c>
      <c r="C46" s="1"/>
      <c r="D46" s="136">
        <f>+'Tabel 2021 52 weken incl. 27,5 '!D46</f>
        <v>0.88900000000000001</v>
      </c>
      <c r="E46" s="134"/>
      <c r="F46" s="95">
        <f t="shared" si="0"/>
        <v>1.4668700000000003</v>
      </c>
      <c r="G46" s="94"/>
      <c r="H46" s="95">
        <f t="shared" si="1"/>
        <v>1.3792200000000006</v>
      </c>
      <c r="I46" s="1"/>
      <c r="J46" s="137">
        <f>+'Tabel 2021 52 weken incl. 27,5 '!J46</f>
        <v>0.94599999999999995</v>
      </c>
      <c r="K46" s="135"/>
      <c r="L46" s="97">
        <f t="shared" si="2"/>
        <v>1.0011800000000008</v>
      </c>
      <c r="M46" s="96"/>
      <c r="N46" s="97">
        <f t="shared" si="3"/>
        <v>0.97908000000000084</v>
      </c>
      <c r="V46" s="99"/>
      <c r="W46" s="259"/>
    </row>
    <row r="47" spans="1:23" ht="15" x14ac:dyDescent="0.2">
      <c r="A47" s="191">
        <f>+'Tabel 2021 52 weken incl. 27,5 '!A47</f>
        <v>38485</v>
      </c>
      <c r="B47" s="191">
        <f>+'Tabel 2021 52 weken incl. 27,5 '!B47</f>
        <v>39972</v>
      </c>
      <c r="C47" s="1"/>
      <c r="D47" s="136">
        <f>+'Tabel 2021 52 weken incl. 27,5 '!D47</f>
        <v>0.88300000000000001</v>
      </c>
      <c r="E47" s="134"/>
      <c r="F47" s="95">
        <f t="shared" si="0"/>
        <v>1.5158900000000004</v>
      </c>
      <c r="G47" s="94"/>
      <c r="H47" s="95">
        <f t="shared" si="1"/>
        <v>1.4213400000000003</v>
      </c>
      <c r="I47" s="1"/>
      <c r="J47" s="137">
        <f>+'Tabel 2021 52 weken incl. 27,5 '!J47</f>
        <v>0.94599999999999995</v>
      </c>
      <c r="K47" s="135"/>
      <c r="L47" s="97">
        <f t="shared" si="2"/>
        <v>1.0011800000000008</v>
      </c>
      <c r="M47" s="96"/>
      <c r="N47" s="97">
        <f t="shared" si="3"/>
        <v>0.97908000000000084</v>
      </c>
      <c r="V47" s="99"/>
    </row>
    <row r="48" spans="1:23" ht="15" x14ac:dyDescent="0.2">
      <c r="A48" s="191">
        <f>+'Tabel 2021 52 weken incl. 27,5 '!A48</f>
        <v>39973</v>
      </c>
      <c r="B48" s="191">
        <f>+'Tabel 2021 52 weken incl. 27,5 '!B48</f>
        <v>41463</v>
      </c>
      <c r="C48" s="1"/>
      <c r="D48" s="136">
        <f>+'Tabel 2021 52 weken incl. 27,5 '!D48</f>
        <v>0.875</v>
      </c>
      <c r="E48" s="134"/>
      <c r="F48" s="95">
        <f t="shared" si="0"/>
        <v>1.5812500000000005</v>
      </c>
      <c r="G48" s="94"/>
      <c r="H48" s="95">
        <f t="shared" si="1"/>
        <v>1.4775000000000005</v>
      </c>
      <c r="I48" s="1"/>
      <c r="J48" s="137">
        <f>+'Tabel 2021 52 weken incl. 27,5 '!J48</f>
        <v>0.94599999999999995</v>
      </c>
      <c r="K48" s="135"/>
      <c r="L48" s="97">
        <f t="shared" si="2"/>
        <v>1.0011800000000008</v>
      </c>
      <c r="M48" s="96"/>
      <c r="N48" s="97">
        <f t="shared" si="3"/>
        <v>0.97908000000000084</v>
      </c>
      <c r="V48" s="99"/>
    </row>
    <row r="49" spans="1:16" ht="15" x14ac:dyDescent="0.2">
      <c r="A49" s="191">
        <f>+'Tabel 2021 52 weken incl. 27,5 '!A49</f>
        <v>41464</v>
      </c>
      <c r="B49" s="191">
        <f>+'Tabel 2021 52 weken incl. 27,5 '!B49</f>
        <v>42953</v>
      </c>
      <c r="C49" s="1"/>
      <c r="D49" s="136">
        <f>+'Tabel 2021 52 weken incl. 27,5 '!D49</f>
        <v>0.86799999999999999</v>
      </c>
      <c r="E49" s="134"/>
      <c r="F49" s="95">
        <f t="shared" si="0"/>
        <v>1.6384400000000006</v>
      </c>
      <c r="G49" s="94"/>
      <c r="H49" s="95">
        <f t="shared" si="1"/>
        <v>1.5266400000000004</v>
      </c>
      <c r="I49" s="1"/>
      <c r="J49" s="137">
        <f>+'Tabel 2021 52 weken incl. 27,5 '!J49</f>
        <v>0.94599999999999995</v>
      </c>
      <c r="K49" s="135"/>
      <c r="L49" s="97">
        <f t="shared" si="2"/>
        <v>1.0011800000000008</v>
      </c>
      <c r="M49" s="96"/>
      <c r="N49" s="97">
        <f t="shared" si="3"/>
        <v>0.97908000000000084</v>
      </c>
    </row>
    <row r="50" spans="1:16" ht="15" x14ac:dyDescent="0.2">
      <c r="A50" s="191">
        <f>+'Tabel 2021 52 weken incl. 27,5 '!A50</f>
        <v>42954</v>
      </c>
      <c r="B50" s="191">
        <f>+'Tabel 2021 52 weken incl. 27,5 '!B50</f>
        <v>44443</v>
      </c>
      <c r="C50" s="1"/>
      <c r="D50" s="136">
        <f>+'Tabel 2021 52 weken incl. 27,5 '!D50</f>
        <v>0.86099999999999999</v>
      </c>
      <c r="E50" s="134"/>
      <c r="F50" s="95">
        <f t="shared" si="0"/>
        <v>1.6956300000000006</v>
      </c>
      <c r="G50" s="94"/>
      <c r="H50" s="95">
        <f t="shared" si="1"/>
        <v>1.5757800000000004</v>
      </c>
      <c r="I50" s="1"/>
      <c r="J50" s="137">
        <f>+'Tabel 2021 52 weken incl. 27,5 '!J50</f>
        <v>0.94599999999999995</v>
      </c>
      <c r="K50" s="135"/>
      <c r="L50" s="97">
        <f t="shared" si="2"/>
        <v>1.0011800000000008</v>
      </c>
      <c r="M50" s="96"/>
      <c r="N50" s="97">
        <f t="shared" si="3"/>
        <v>0.97908000000000084</v>
      </c>
    </row>
    <row r="51" spans="1:16" ht="15" x14ac:dyDescent="0.2">
      <c r="A51" s="191">
        <f>+'Tabel 2021 52 weken incl. 27,5 '!A51</f>
        <v>44444</v>
      </c>
      <c r="B51" s="191">
        <f>+'Tabel 2021 52 weken incl. 27,5 '!B51</f>
        <v>45936</v>
      </c>
      <c r="C51" s="1"/>
      <c r="D51" s="136">
        <f>+'Tabel 2021 52 weken incl. 27,5 '!D51</f>
        <v>0.85199999999999998</v>
      </c>
      <c r="E51" s="134"/>
      <c r="F51" s="95">
        <f t="shared" si="0"/>
        <v>1.7691600000000007</v>
      </c>
      <c r="G51" s="94"/>
      <c r="H51" s="95">
        <f t="shared" si="1"/>
        <v>1.6389600000000006</v>
      </c>
      <c r="I51" s="1"/>
      <c r="J51" s="137">
        <f>+'Tabel 2021 52 weken incl. 27,5 '!J51</f>
        <v>0.94599999999999995</v>
      </c>
      <c r="K51" s="135"/>
      <c r="L51" s="97">
        <f t="shared" si="2"/>
        <v>1.0011800000000008</v>
      </c>
      <c r="M51" s="96"/>
      <c r="N51" s="97">
        <f t="shared" si="3"/>
        <v>0.97908000000000084</v>
      </c>
    </row>
    <row r="52" spans="1:16" ht="15" x14ac:dyDescent="0.2">
      <c r="A52" s="191">
        <f>+'Tabel 2021 52 weken incl. 27,5 '!A52</f>
        <v>45937</v>
      </c>
      <c r="B52" s="191">
        <f>+'Tabel 2021 52 weken incl. 27,5 '!B52</f>
        <v>47427</v>
      </c>
      <c r="C52" s="1"/>
      <c r="D52" s="136">
        <f>+'Tabel 2021 52 weken incl. 27,5 '!D52</f>
        <v>0.84699999999999998</v>
      </c>
      <c r="E52" s="134"/>
      <c r="F52" s="95">
        <f t="shared" si="0"/>
        <v>1.8100100000000008</v>
      </c>
      <c r="G52" s="94"/>
      <c r="H52" s="95">
        <f t="shared" si="1"/>
        <v>1.6740600000000005</v>
      </c>
      <c r="I52" s="1"/>
      <c r="J52" s="137">
        <f>+'Tabel 2021 52 weken incl. 27,5 '!J52</f>
        <v>0.94599999999999995</v>
      </c>
      <c r="K52" s="135"/>
      <c r="L52" s="97">
        <f t="shared" si="2"/>
        <v>1.0011800000000008</v>
      </c>
      <c r="M52" s="96"/>
      <c r="N52" s="97">
        <f t="shared" si="3"/>
        <v>0.97908000000000084</v>
      </c>
    </row>
    <row r="53" spans="1:16" ht="15" x14ac:dyDescent="0.2">
      <c r="A53" s="191">
        <f>+'Tabel 2021 52 weken incl. 27,5 '!A53</f>
        <v>47428</v>
      </c>
      <c r="B53" s="191">
        <f>+'Tabel 2021 52 weken incl. 27,5 '!B53</f>
        <v>48916</v>
      </c>
      <c r="C53" s="1"/>
      <c r="D53" s="136">
        <f>+'Tabel 2021 52 weken incl. 27,5 '!D53</f>
        <v>0.83899999999999997</v>
      </c>
      <c r="E53" s="134"/>
      <c r="F53" s="95">
        <f t="shared" si="0"/>
        <v>1.8753700000000006</v>
      </c>
      <c r="G53" s="94"/>
      <c r="H53" s="95">
        <f t="shared" si="1"/>
        <v>1.7302200000000008</v>
      </c>
      <c r="I53" s="1"/>
      <c r="J53" s="137">
        <f>+'Tabel 2021 52 weken incl. 27,5 '!J53</f>
        <v>0.94599999999999995</v>
      </c>
      <c r="K53" s="135"/>
      <c r="L53" s="97">
        <f t="shared" si="2"/>
        <v>1.0011800000000008</v>
      </c>
      <c r="M53" s="96"/>
      <c r="N53" s="97">
        <f t="shared" si="3"/>
        <v>0.97908000000000084</v>
      </c>
    </row>
    <row r="54" spans="1:16" ht="15" x14ac:dyDescent="0.2">
      <c r="A54" s="191">
        <f>+'Tabel 2021 52 weken incl. 27,5 '!A54</f>
        <v>48917</v>
      </c>
      <c r="B54" s="191">
        <f>+'Tabel 2021 52 weken incl. 27,5 '!B54</f>
        <v>50407</v>
      </c>
      <c r="C54" s="1"/>
      <c r="D54" s="136">
        <f>+'Tabel 2021 52 weken incl. 27,5 '!D54</f>
        <v>0.83299999999999996</v>
      </c>
      <c r="E54" s="134"/>
      <c r="F54" s="95">
        <f t="shared" si="0"/>
        <v>1.9243900000000007</v>
      </c>
      <c r="G54" s="94"/>
      <c r="H54" s="95">
        <f t="shared" si="1"/>
        <v>1.7723400000000007</v>
      </c>
      <c r="I54" s="1"/>
      <c r="J54" s="137">
        <f>+'Tabel 2021 52 weken incl. 27,5 '!J54</f>
        <v>0.94599999999999995</v>
      </c>
      <c r="K54" s="135"/>
      <c r="L54" s="97">
        <f t="shared" si="2"/>
        <v>1.0011800000000008</v>
      </c>
      <c r="M54" s="96"/>
      <c r="N54" s="97">
        <f t="shared" si="3"/>
        <v>0.97908000000000084</v>
      </c>
    </row>
    <row r="55" spans="1:16" ht="15" x14ac:dyDescent="0.2">
      <c r="A55" s="191">
        <f>+'Tabel 2021 52 weken incl. 27,5 '!A55</f>
        <v>50408</v>
      </c>
      <c r="B55" s="191">
        <f>+'Tabel 2021 52 weken incl. 27,5 '!B55</f>
        <v>52036</v>
      </c>
      <c r="C55" s="1"/>
      <c r="D55" s="136">
        <f>+'Tabel 2021 52 weken incl. 27,5 '!D55</f>
        <v>0.82399999999999995</v>
      </c>
      <c r="E55" s="134"/>
      <c r="F55" s="95">
        <f t="shared" si="0"/>
        <v>1.9979200000000008</v>
      </c>
      <c r="G55" s="94"/>
      <c r="H55" s="95">
        <f t="shared" si="1"/>
        <v>1.8355200000000007</v>
      </c>
      <c r="I55" s="1"/>
      <c r="J55" s="137">
        <f>+'Tabel 2021 52 weken incl. 27,5 '!J55</f>
        <v>0.94599999999999995</v>
      </c>
      <c r="K55" s="135"/>
      <c r="L55" s="97">
        <f t="shared" si="2"/>
        <v>1.0011800000000008</v>
      </c>
      <c r="M55" s="96"/>
      <c r="N55" s="97">
        <f t="shared" si="3"/>
        <v>0.97908000000000084</v>
      </c>
    </row>
    <row r="56" spans="1:16" ht="15" x14ac:dyDescent="0.2">
      <c r="A56" s="191">
        <f>+'Tabel 2021 52 weken incl. 27,5 '!A56</f>
        <v>52037</v>
      </c>
      <c r="B56" s="191">
        <f>+'Tabel 2021 52 weken incl. 27,5 '!B56</f>
        <v>55230</v>
      </c>
      <c r="C56" s="1"/>
      <c r="D56" s="136">
        <f>+'Tabel 2021 52 weken incl. 27,5 '!D56</f>
        <v>0.80900000000000005</v>
      </c>
      <c r="E56" s="134"/>
      <c r="F56" s="95">
        <f t="shared" si="0"/>
        <v>2.1204700000000001</v>
      </c>
      <c r="G56" s="94"/>
      <c r="H56" s="95">
        <f t="shared" si="1"/>
        <v>1.94082</v>
      </c>
      <c r="I56" s="1"/>
      <c r="J56" s="137">
        <f>+'Tabel 2021 52 weken incl. 27,5 '!J56</f>
        <v>0.94599999999999995</v>
      </c>
      <c r="K56" s="135"/>
      <c r="L56" s="97">
        <f t="shared" si="2"/>
        <v>1.0011800000000008</v>
      </c>
      <c r="M56" s="96"/>
      <c r="N56" s="97">
        <f t="shared" si="3"/>
        <v>0.97908000000000084</v>
      </c>
    </row>
    <row r="57" spans="1:16" ht="15" x14ac:dyDescent="0.2">
      <c r="A57" s="191">
        <f>+'Tabel 2021 52 weken incl. 27,5 '!A57</f>
        <v>55231</v>
      </c>
      <c r="B57" s="191">
        <f>+'Tabel 2021 52 weken incl. 27,5 '!B57</f>
        <v>58423</v>
      </c>
      <c r="C57" s="1"/>
      <c r="D57" s="136">
        <f>+'Tabel 2021 52 weken incl. 27,5 '!D57</f>
        <v>0.80100000000000005</v>
      </c>
      <c r="E57" s="134"/>
      <c r="F57" s="95">
        <f t="shared" si="0"/>
        <v>2.1858300000000002</v>
      </c>
      <c r="G57" s="94"/>
      <c r="H57" s="95">
        <f t="shared" si="1"/>
        <v>1.9969800000000002</v>
      </c>
      <c r="I57" s="1"/>
      <c r="J57" s="137">
        <f>+'Tabel 2021 52 weken incl. 27,5 '!J57</f>
        <v>0.94199999999999995</v>
      </c>
      <c r="K57" s="135"/>
      <c r="L57" s="97">
        <f t="shared" si="2"/>
        <v>1.0338600000000009</v>
      </c>
      <c r="M57" s="96"/>
      <c r="N57" s="97">
        <f t="shared" si="3"/>
        <v>1.0071600000000009</v>
      </c>
    </row>
    <row r="58" spans="1:16" ht="15" x14ac:dyDescent="0.2">
      <c r="A58" s="191">
        <f>+'Tabel 2021 52 weken incl. 27,5 '!A58</f>
        <v>58424</v>
      </c>
      <c r="B58" s="191">
        <f>+'Tabel 2021 52 weken incl. 27,5 '!B58</f>
        <v>61618</v>
      </c>
      <c r="C58" s="1"/>
      <c r="D58" s="136">
        <f>+'Tabel 2021 52 weken incl. 27,5 '!D58</f>
        <v>0.79</v>
      </c>
      <c r="E58" s="134"/>
      <c r="F58" s="95">
        <f t="shared" si="0"/>
        <v>2.2757000000000005</v>
      </c>
      <c r="G58" s="94"/>
      <c r="H58" s="95">
        <f t="shared" si="1"/>
        <v>2.0742000000000003</v>
      </c>
      <c r="I58" s="1"/>
      <c r="J58" s="137">
        <f>+'Tabel 2021 52 weken incl. 27,5 '!J58</f>
        <v>0.93600000000000005</v>
      </c>
      <c r="K58" s="135"/>
      <c r="L58" s="97">
        <f t="shared" si="2"/>
        <v>1.0828800000000001</v>
      </c>
      <c r="M58" s="96"/>
      <c r="N58" s="97">
        <f t="shared" si="3"/>
        <v>1.04928</v>
      </c>
    </row>
    <row r="59" spans="1:16" ht="15" x14ac:dyDescent="0.2">
      <c r="A59" s="191">
        <f>+'Tabel 2021 52 weken incl. 27,5 '!A59</f>
        <v>61619</v>
      </c>
      <c r="B59" s="191">
        <f>+'Tabel 2021 52 weken incl. 27,5 '!B59</f>
        <v>64813</v>
      </c>
      <c r="C59" s="1"/>
      <c r="D59" s="136">
        <f>+'Tabel 2021 52 weken incl. 27,5 '!D59</f>
        <v>0.76800000000000002</v>
      </c>
      <c r="E59" s="134"/>
      <c r="F59" s="95">
        <f t="shared" si="0"/>
        <v>2.4554400000000003</v>
      </c>
      <c r="G59" s="94"/>
      <c r="H59" s="95">
        <f t="shared" si="1"/>
        <v>2.2286400000000004</v>
      </c>
      <c r="I59" s="1"/>
      <c r="J59" s="137">
        <f>+'Tabel 2021 52 weken incl. 27,5 '!J59</f>
        <v>0.93200000000000005</v>
      </c>
      <c r="K59" s="135"/>
      <c r="L59" s="97">
        <f t="shared" si="2"/>
        <v>1.1155600000000001</v>
      </c>
      <c r="M59" s="96"/>
      <c r="N59" s="97">
        <f t="shared" si="3"/>
        <v>1.0773600000000001</v>
      </c>
    </row>
    <row r="60" spans="1:16" ht="15" x14ac:dyDescent="0.2">
      <c r="A60" s="191">
        <f>+'Tabel 2021 52 weken incl. 27,5 '!A60</f>
        <v>64814</v>
      </c>
      <c r="B60" s="191">
        <f>+'Tabel 2021 52 weken incl. 27,5 '!B60</f>
        <v>68006</v>
      </c>
      <c r="C60" s="1"/>
      <c r="D60" s="136">
        <f>+'Tabel 2021 52 weken incl. 27,5 '!D60</f>
        <v>0.745</v>
      </c>
      <c r="E60" s="134"/>
      <c r="F60" s="95">
        <f t="shared" si="0"/>
        <v>2.6433500000000003</v>
      </c>
      <c r="G60" s="94"/>
      <c r="H60" s="95">
        <f t="shared" si="1"/>
        <v>2.3901000000000003</v>
      </c>
      <c r="I60" s="1"/>
      <c r="J60" s="137">
        <f>+'Tabel 2021 52 weken incl. 27,5 '!J60</f>
        <v>0.92900000000000005</v>
      </c>
      <c r="K60" s="135"/>
      <c r="L60" s="97">
        <f t="shared" si="2"/>
        <v>1.1400700000000001</v>
      </c>
      <c r="M60" s="96"/>
      <c r="N60" s="97">
        <f t="shared" si="3"/>
        <v>1.0984200000000002</v>
      </c>
    </row>
    <row r="61" spans="1:16" ht="15" x14ac:dyDescent="0.2">
      <c r="A61" s="191">
        <f>+'Tabel 2021 52 weken incl. 27,5 '!A61</f>
        <v>68007</v>
      </c>
      <c r="B61" s="191">
        <f>+'Tabel 2021 52 weken incl. 27,5 '!B61</f>
        <v>71202</v>
      </c>
      <c r="C61" s="1"/>
      <c r="D61" s="136">
        <f>+'Tabel 2021 52 weken incl. 27,5 '!D61</f>
        <v>0.72299999999999998</v>
      </c>
      <c r="E61" s="134"/>
      <c r="F61" s="95">
        <f t="shared" si="0"/>
        <v>2.8230900000000005</v>
      </c>
      <c r="G61" s="94"/>
      <c r="H61" s="95">
        <f t="shared" si="1"/>
        <v>2.5445400000000005</v>
      </c>
      <c r="I61" s="1"/>
      <c r="J61" s="137">
        <f>+'Tabel 2021 52 weken incl. 27,5 '!J61</f>
        <v>0.92200000000000004</v>
      </c>
      <c r="K61" s="135"/>
      <c r="L61" s="97">
        <f t="shared" si="2"/>
        <v>1.19726</v>
      </c>
      <c r="M61" s="96"/>
      <c r="N61" s="97">
        <f t="shared" si="3"/>
        <v>1.1475600000000004</v>
      </c>
    </row>
    <row r="62" spans="1:16" ht="15" x14ac:dyDescent="0.2">
      <c r="A62" s="191">
        <f>+'Tabel 2021 52 weken incl. 27,5 '!A62</f>
        <v>71203</v>
      </c>
      <c r="B62" s="191">
        <f>+'Tabel 2021 52 weken incl. 27,5 '!B62</f>
        <v>74396</v>
      </c>
      <c r="C62" s="1"/>
      <c r="D62" s="136">
        <f>+'Tabel 2021 52 weken incl. 27,5 '!D62</f>
        <v>0.69899999999999995</v>
      </c>
      <c r="E62" s="134"/>
      <c r="F62" s="95">
        <f t="shared" si="0"/>
        <v>3.0191700000000008</v>
      </c>
      <c r="G62" s="94"/>
      <c r="H62" s="95">
        <f t="shared" si="1"/>
        <v>2.7130200000000007</v>
      </c>
      <c r="I62" s="1"/>
      <c r="J62" s="137">
        <f>+'Tabel 2021 52 weken incl. 27,5 '!J62</f>
        <v>0.91700000000000004</v>
      </c>
      <c r="K62" s="135"/>
      <c r="L62" s="97">
        <f t="shared" si="2"/>
        <v>1.2381100000000003</v>
      </c>
      <c r="M62" s="96"/>
      <c r="N62" s="97">
        <f t="shared" si="3"/>
        <v>1.1826600000000003</v>
      </c>
    </row>
    <row r="63" spans="1:16" ht="15" x14ac:dyDescent="0.2">
      <c r="A63" s="191">
        <f>+'Tabel 2021 52 weken incl. 27,5 '!A63</f>
        <v>74397</v>
      </c>
      <c r="B63" s="191">
        <f>+'Tabel 2021 52 weken incl. 27,5 '!B63</f>
        <v>77590</v>
      </c>
      <c r="C63" s="1"/>
      <c r="D63" s="136">
        <f>+'Tabel 2021 52 weken incl. 27,5 '!D63</f>
        <v>0.67600000000000005</v>
      </c>
      <c r="E63" s="134"/>
      <c r="F63" s="95">
        <f t="shared" si="0"/>
        <v>3.2070799999999999</v>
      </c>
      <c r="G63" s="94"/>
      <c r="H63" s="95">
        <f t="shared" si="1"/>
        <v>2.8744800000000001</v>
      </c>
      <c r="I63" s="1"/>
      <c r="J63" s="137">
        <f>+'Tabel 2021 52 weken incl. 27,5 '!J63</f>
        <v>0.91200000000000003</v>
      </c>
      <c r="K63" s="135"/>
      <c r="L63" s="97">
        <f t="shared" si="2"/>
        <v>1.2789600000000001</v>
      </c>
      <c r="M63" s="96"/>
      <c r="N63" s="97">
        <f t="shared" si="3"/>
        <v>1.2177600000000002</v>
      </c>
      <c r="P63" s="98"/>
    </row>
    <row r="64" spans="1:16" ht="15" x14ac:dyDescent="0.2">
      <c r="A64" s="191">
        <f>+'Tabel 2021 52 weken incl. 27,5 '!A64</f>
        <v>77591</v>
      </c>
      <c r="B64" s="191">
        <f>+'Tabel 2021 52 weken incl. 27,5 '!B64</f>
        <v>80786</v>
      </c>
      <c r="C64" s="1"/>
      <c r="D64" s="136">
        <f>+'Tabel 2021 52 weken incl. 27,5 '!D64</f>
        <v>0.65400000000000003</v>
      </c>
      <c r="E64" s="134"/>
      <c r="F64" s="95">
        <f t="shared" si="0"/>
        <v>3.3868200000000002</v>
      </c>
      <c r="G64" s="94"/>
      <c r="H64" s="95">
        <f t="shared" si="1"/>
        <v>3.0289200000000003</v>
      </c>
      <c r="I64" s="1"/>
      <c r="J64" s="137">
        <f>+'Tabel 2021 52 weken incl. 27,5 '!J64</f>
        <v>0.90500000000000003</v>
      </c>
      <c r="K64" s="135"/>
      <c r="L64" s="97">
        <f t="shared" si="2"/>
        <v>1.3361500000000004</v>
      </c>
      <c r="M64" s="96"/>
      <c r="N64" s="97">
        <f t="shared" si="3"/>
        <v>1.2669000000000004</v>
      </c>
    </row>
    <row r="65" spans="1:16" ht="15" x14ac:dyDescent="0.2">
      <c r="A65" s="191">
        <f>+'Tabel 2021 52 weken incl. 27,5 '!A65</f>
        <v>80787</v>
      </c>
      <c r="B65" s="191">
        <f>+'Tabel 2021 52 weken incl. 27,5 '!B65</f>
        <v>83979</v>
      </c>
      <c r="C65" s="1"/>
      <c r="D65" s="136">
        <f>+'Tabel 2021 52 weken incl. 27,5 '!D65</f>
        <v>0.63100000000000001</v>
      </c>
      <c r="E65" s="134"/>
      <c r="F65" s="95">
        <f t="shared" si="0"/>
        <v>3.5747300000000006</v>
      </c>
      <c r="G65" s="94"/>
      <c r="H65" s="95">
        <f t="shared" si="1"/>
        <v>3.1903800000000002</v>
      </c>
      <c r="I65" s="1"/>
      <c r="J65" s="137">
        <f>+'Tabel 2021 52 weken incl. 27,5 '!J65</f>
        <v>0.9</v>
      </c>
      <c r="K65" s="135"/>
      <c r="L65" s="97">
        <f t="shared" si="2"/>
        <v>1.3770000000000002</v>
      </c>
      <c r="M65" s="96"/>
      <c r="N65" s="97">
        <f t="shared" si="3"/>
        <v>1.3020000000000005</v>
      </c>
    </row>
    <row r="66" spans="1:16" ht="15" x14ac:dyDescent="0.2">
      <c r="A66" s="191">
        <f>+'Tabel 2021 52 weken incl. 27,5 '!A66</f>
        <v>83980</v>
      </c>
      <c r="B66" s="191">
        <f>+'Tabel 2021 52 weken incl. 27,5 '!B66</f>
        <v>87176</v>
      </c>
      <c r="C66" s="1"/>
      <c r="D66" s="136">
        <f>+'Tabel 2021 52 weken incl. 27,5 '!D66</f>
        <v>0.60899999999999999</v>
      </c>
      <c r="E66" s="134"/>
      <c r="F66" s="95">
        <f t="shared" si="0"/>
        <v>3.7544700000000004</v>
      </c>
      <c r="G66" s="94"/>
      <c r="H66" s="95">
        <f t="shared" si="1"/>
        <v>3.3448200000000003</v>
      </c>
      <c r="I66" s="1"/>
      <c r="J66" s="137">
        <f>+'Tabel 2021 52 weken incl. 27,5 '!J66</f>
        <v>0.89600000000000002</v>
      </c>
      <c r="K66" s="135"/>
      <c r="L66" s="97">
        <f t="shared" si="2"/>
        <v>1.4096800000000003</v>
      </c>
      <c r="M66" s="96"/>
      <c r="N66" s="97">
        <f t="shared" si="3"/>
        <v>1.3300800000000004</v>
      </c>
    </row>
    <row r="67" spans="1:16" ht="15" x14ac:dyDescent="0.2">
      <c r="A67" s="191">
        <f>+'Tabel 2021 52 weken incl. 27,5 '!A67</f>
        <v>87177</v>
      </c>
      <c r="B67" s="191">
        <f>+'Tabel 2021 52 weken incl. 27,5 '!B67</f>
        <v>90370</v>
      </c>
      <c r="C67" s="1"/>
      <c r="D67" s="136">
        <f>+'Tabel 2021 52 weken incl. 27,5 '!D67</f>
        <v>0.58399999999999996</v>
      </c>
      <c r="E67" s="134"/>
      <c r="F67" s="95">
        <f t="shared" si="0"/>
        <v>3.9587200000000009</v>
      </c>
      <c r="G67" s="94"/>
      <c r="H67" s="95">
        <f t="shared" si="1"/>
        <v>3.5203200000000008</v>
      </c>
      <c r="I67" s="1"/>
      <c r="J67" s="137">
        <f>+'Tabel 2021 52 weken incl. 27,5 '!J67</f>
        <v>0.89300000000000002</v>
      </c>
      <c r="K67" s="135"/>
      <c r="L67" s="97">
        <f t="shared" si="2"/>
        <v>1.4341900000000005</v>
      </c>
      <c r="M67" s="96"/>
      <c r="N67" s="97">
        <f t="shared" si="3"/>
        <v>1.3511400000000005</v>
      </c>
    </row>
    <row r="68" spans="1:16" ht="15" x14ac:dyDescent="0.2">
      <c r="A68" s="191">
        <f>+'Tabel 2021 52 weken incl. 27,5 '!A68</f>
        <v>90371</v>
      </c>
      <c r="B68" s="191">
        <f>+'Tabel 2021 52 weken incl. 27,5 '!B68</f>
        <v>93562</v>
      </c>
      <c r="C68" s="1"/>
      <c r="D68" s="136">
        <f>+'Tabel 2021 52 weken incl. 27,5 '!D68</f>
        <v>0.56200000000000006</v>
      </c>
      <c r="E68" s="134"/>
      <c r="F68" s="95">
        <f t="shared" si="0"/>
        <v>4.1384600000000002</v>
      </c>
      <c r="G68" s="94"/>
      <c r="H68" s="95">
        <f t="shared" si="1"/>
        <v>3.67476</v>
      </c>
      <c r="I68" s="1"/>
      <c r="J68" s="137">
        <f>+'Tabel 2021 52 weken incl. 27,5 '!J68</f>
        <v>0.88600000000000001</v>
      </c>
      <c r="K68" s="135"/>
      <c r="L68" s="97">
        <f t="shared" si="2"/>
        <v>1.4913800000000004</v>
      </c>
      <c r="M68" s="96"/>
      <c r="N68" s="97">
        <f t="shared" si="3"/>
        <v>1.4002800000000004</v>
      </c>
    </row>
    <row r="69" spans="1:16" ht="15" x14ac:dyDescent="0.2">
      <c r="A69" s="191">
        <f>+'Tabel 2021 52 weken incl. 27,5 '!A69</f>
        <v>93563</v>
      </c>
      <c r="B69" s="191">
        <f>+'Tabel 2021 52 weken incl. 27,5 '!B69</f>
        <v>96757</v>
      </c>
      <c r="C69" s="1"/>
      <c r="D69" s="136">
        <f>+'Tabel 2021 52 weken incl. 27,5 '!D69</f>
        <v>0.54</v>
      </c>
      <c r="E69" s="134"/>
      <c r="F69" s="95">
        <f t="shared" si="0"/>
        <v>4.3182</v>
      </c>
      <c r="G69" s="94"/>
      <c r="H69" s="95">
        <f t="shared" si="1"/>
        <v>3.8292000000000002</v>
      </c>
      <c r="I69" s="1"/>
      <c r="J69" s="137">
        <f>+'Tabel 2021 52 weken incl. 27,5 '!J69</f>
        <v>0.88200000000000001</v>
      </c>
      <c r="K69" s="135"/>
      <c r="L69" s="97">
        <f t="shared" si="2"/>
        <v>1.5240600000000004</v>
      </c>
      <c r="M69" s="96"/>
      <c r="N69" s="97">
        <f t="shared" si="3"/>
        <v>1.4283600000000005</v>
      </c>
    </row>
    <row r="70" spans="1:16" ht="15" x14ac:dyDescent="0.2">
      <c r="A70" s="191">
        <f>+'Tabel 2021 52 weken incl. 27,5 '!A70</f>
        <v>96758</v>
      </c>
      <c r="B70" s="191">
        <f>+'Tabel 2021 52 weken incl. 27,5 '!B70</f>
        <v>100015</v>
      </c>
      <c r="C70" s="1"/>
      <c r="D70" s="136">
        <f>+'Tabel 2021 52 weken incl. 27,5 '!D70</f>
        <v>0.51600000000000001</v>
      </c>
      <c r="E70" s="134"/>
      <c r="F70" s="95">
        <f t="shared" si="0"/>
        <v>4.5142800000000003</v>
      </c>
      <c r="G70" s="94"/>
      <c r="H70" s="95">
        <f t="shared" si="1"/>
        <v>3.9976800000000003</v>
      </c>
      <c r="I70" s="1"/>
      <c r="J70" s="137">
        <f>+'Tabel 2021 52 weken incl. 27,5 '!J70</f>
        <v>0.877</v>
      </c>
      <c r="K70" s="135"/>
      <c r="L70" s="97">
        <f t="shared" si="2"/>
        <v>1.5649100000000005</v>
      </c>
      <c r="M70" s="96"/>
      <c r="N70" s="97">
        <f t="shared" si="3"/>
        <v>1.4634600000000004</v>
      </c>
    </row>
    <row r="71" spans="1:16" ht="15" x14ac:dyDescent="0.2">
      <c r="A71" s="191">
        <f>+'Tabel 2021 52 weken incl. 27,5 '!A71</f>
        <v>100016</v>
      </c>
      <c r="B71" s="191">
        <f>+'Tabel 2021 52 weken incl. 27,5 '!B71</f>
        <v>103287</v>
      </c>
      <c r="C71" s="1"/>
      <c r="D71" s="136">
        <f>+'Tabel 2021 52 weken incl. 27,5 '!D71</f>
        <v>0.496</v>
      </c>
      <c r="E71" s="134"/>
      <c r="F71" s="95">
        <f t="shared" si="0"/>
        <v>4.6776800000000005</v>
      </c>
      <c r="G71" s="94"/>
      <c r="H71" s="95">
        <f t="shared" si="1"/>
        <v>4.1380800000000004</v>
      </c>
      <c r="I71" s="1"/>
      <c r="J71" s="137">
        <f>+'Tabel 2021 52 weken incl. 27,5 '!J71</f>
        <v>0.87</v>
      </c>
      <c r="K71" s="135"/>
      <c r="L71" s="97">
        <f t="shared" si="2"/>
        <v>1.6221000000000005</v>
      </c>
      <c r="M71" s="96"/>
      <c r="N71" s="97">
        <f t="shared" si="3"/>
        <v>1.5126000000000004</v>
      </c>
    </row>
    <row r="72" spans="1:16" ht="15" x14ac:dyDescent="0.2">
      <c r="A72" s="191">
        <f>+'Tabel 2021 52 weken incl. 27,5 '!A72</f>
        <v>103288</v>
      </c>
      <c r="B72" s="191">
        <f>+'Tabel 2021 52 weken incl. 27,5 '!B72</f>
        <v>106558</v>
      </c>
      <c r="C72" s="1"/>
      <c r="D72" s="136">
        <f>+'Tabel 2021 52 weken incl. 27,5 '!D72</f>
        <v>0.47499999999999998</v>
      </c>
      <c r="E72" s="134"/>
      <c r="F72" s="95">
        <f t="shared" si="0"/>
        <v>4.8492500000000005</v>
      </c>
      <c r="G72" s="94"/>
      <c r="H72" s="95">
        <f t="shared" si="1"/>
        <v>4.2855000000000008</v>
      </c>
      <c r="I72" s="1"/>
      <c r="J72" s="137">
        <f>+'Tabel 2021 52 weken incl. 27,5 '!J72</f>
        <v>0.86499999999999999</v>
      </c>
      <c r="K72" s="135"/>
      <c r="L72" s="97">
        <f t="shared" si="2"/>
        <v>1.6629500000000006</v>
      </c>
      <c r="M72" s="96"/>
      <c r="N72" s="97">
        <f t="shared" si="3"/>
        <v>1.5477000000000005</v>
      </c>
    </row>
    <row r="73" spans="1:16" ht="15" x14ac:dyDescent="0.2">
      <c r="A73" s="191">
        <f>+'Tabel 2021 52 weken incl. 27,5 '!A73</f>
        <v>106559</v>
      </c>
      <c r="B73" s="191">
        <f>+'Tabel 2021 52 weken incl. 27,5 '!B73</f>
        <v>109829</v>
      </c>
      <c r="C73" s="1"/>
      <c r="D73" s="136">
        <f>+'Tabel 2021 52 weken incl. 27,5 '!D73</f>
        <v>0.45400000000000001</v>
      </c>
      <c r="E73" s="134"/>
      <c r="F73" s="95">
        <f t="shared" si="0"/>
        <v>5.0208200000000005</v>
      </c>
      <c r="G73" s="94"/>
      <c r="H73" s="95">
        <f t="shared" si="1"/>
        <v>4.4329200000000011</v>
      </c>
      <c r="I73" s="1"/>
      <c r="J73" s="137">
        <f>+'Tabel 2021 52 weken incl. 27,5 '!J73</f>
        <v>0.86099999999999999</v>
      </c>
      <c r="K73" s="135"/>
      <c r="L73" s="97">
        <f t="shared" si="2"/>
        <v>1.6956300000000006</v>
      </c>
      <c r="M73" s="96"/>
      <c r="N73" s="97">
        <f t="shared" si="3"/>
        <v>1.5757800000000004</v>
      </c>
    </row>
    <row r="74" spans="1:16" ht="15" x14ac:dyDescent="0.2">
      <c r="A74" s="191">
        <f>+'Tabel 2021 52 weken incl. 27,5 '!A74</f>
        <v>109830</v>
      </c>
      <c r="B74" s="191">
        <f>+'Tabel 2021 52 weken incl. 27,5 '!B74</f>
        <v>113099</v>
      </c>
      <c r="C74" s="1"/>
      <c r="D74" s="136">
        <f>+'Tabel 2021 52 weken incl. 27,5 '!D74</f>
        <v>0.433</v>
      </c>
      <c r="E74" s="134"/>
      <c r="F74" s="95">
        <f t="shared" si="0"/>
        <v>5.1923899999999996</v>
      </c>
      <c r="G74" s="94"/>
      <c r="H74" s="95">
        <f t="shared" si="1"/>
        <v>4.5803399999999996</v>
      </c>
      <c r="I74" s="1"/>
      <c r="J74" s="137">
        <f>+'Tabel 2021 52 weken incl. 27,5 '!J74</f>
        <v>0.85799999999999998</v>
      </c>
      <c r="K74" s="135"/>
      <c r="L74" s="97">
        <f t="shared" si="2"/>
        <v>1.7201400000000007</v>
      </c>
      <c r="M74" s="96"/>
      <c r="N74" s="97">
        <f t="shared" si="3"/>
        <v>1.5968400000000007</v>
      </c>
    </row>
    <row r="75" spans="1:16" ht="15" x14ac:dyDescent="0.2">
      <c r="A75" s="191">
        <f>+'Tabel 2021 52 weken incl. 27,5 '!A75</f>
        <v>113100</v>
      </c>
      <c r="B75" s="191">
        <f>+'Tabel 2021 52 weken incl. 27,5 '!B75</f>
        <v>116371</v>
      </c>
      <c r="C75" s="1"/>
      <c r="D75" s="136">
        <f>+'Tabel 2021 52 weken incl. 27,5 '!D75</f>
        <v>0.41399999999999998</v>
      </c>
      <c r="E75" s="134"/>
      <c r="F75" s="95">
        <f t="shared" si="0"/>
        <v>5.3476200000000009</v>
      </c>
      <c r="G75" s="94"/>
      <c r="H75" s="95">
        <f t="shared" si="1"/>
        <v>4.7137200000000012</v>
      </c>
      <c r="I75" s="1"/>
      <c r="J75" s="137">
        <f>+'Tabel 2021 52 weken incl. 27,5 '!J75</f>
        <v>0.85099999999999998</v>
      </c>
      <c r="K75" s="135"/>
      <c r="L75" s="97">
        <f t="shared" si="2"/>
        <v>1.7773300000000007</v>
      </c>
      <c r="M75" s="96"/>
      <c r="N75" s="97">
        <f t="shared" si="3"/>
        <v>1.6459800000000007</v>
      </c>
    </row>
    <row r="76" spans="1:16" ht="15" x14ac:dyDescent="0.2">
      <c r="A76" s="191">
        <f>+'Tabel 2021 52 weken incl. 27,5 '!A76</f>
        <v>116372</v>
      </c>
      <c r="B76" s="191">
        <f>+'Tabel 2021 52 weken incl. 27,5 '!B76</f>
        <v>119644</v>
      </c>
      <c r="C76" s="1"/>
      <c r="D76" s="136">
        <f>+'Tabel 2021 52 weken incl. 27,5 '!D76</f>
        <v>0.39500000000000002</v>
      </c>
      <c r="E76" s="134"/>
      <c r="F76" s="95">
        <f t="shared" si="0"/>
        <v>5.5028500000000005</v>
      </c>
      <c r="G76" s="94"/>
      <c r="H76" s="95">
        <f t="shared" si="1"/>
        <v>4.8471000000000002</v>
      </c>
      <c r="I76" s="1"/>
      <c r="J76" s="137">
        <f>+'Tabel 2021 52 weken incl. 27,5 '!J76</f>
        <v>0.84499999999999997</v>
      </c>
      <c r="K76" s="135"/>
      <c r="L76" s="97">
        <f t="shared" si="2"/>
        <v>1.8263500000000008</v>
      </c>
      <c r="M76" s="96"/>
      <c r="N76" s="97">
        <f t="shared" si="3"/>
        <v>1.6881000000000006</v>
      </c>
    </row>
    <row r="77" spans="1:16" ht="15" x14ac:dyDescent="0.2">
      <c r="A77" s="191">
        <f>+'Tabel 2021 52 weken incl. 27,5 '!A77</f>
        <v>119645</v>
      </c>
      <c r="B77" s="191">
        <f>+'Tabel 2021 52 weken incl. 27,5 '!B77</f>
        <v>122916</v>
      </c>
      <c r="C77" s="1"/>
      <c r="D77" s="136">
        <f>+'Tabel 2021 52 weken incl. 27,5 '!D77</f>
        <v>0.376</v>
      </c>
      <c r="E77" s="134"/>
      <c r="F77" s="95">
        <f t="shared" si="0"/>
        <v>5.6580800000000009</v>
      </c>
      <c r="G77" s="94"/>
      <c r="H77" s="95">
        <f t="shared" si="1"/>
        <v>4.98048</v>
      </c>
      <c r="I77" s="1"/>
      <c r="J77" s="137">
        <f>+'Tabel 2021 52 weken incl. 27,5 '!J77</f>
        <v>0.84099999999999997</v>
      </c>
      <c r="K77" s="135"/>
      <c r="L77" s="97">
        <f t="shared" si="2"/>
        <v>1.8590300000000006</v>
      </c>
      <c r="M77" s="96"/>
      <c r="N77" s="97">
        <f t="shared" si="3"/>
        <v>1.7161800000000007</v>
      </c>
    </row>
    <row r="78" spans="1:16" ht="15" x14ac:dyDescent="0.2">
      <c r="A78" s="191">
        <f>+'Tabel 2021 52 weken incl. 27,5 '!A78</f>
        <v>122917</v>
      </c>
      <c r="B78" s="191">
        <f>+'Tabel 2021 52 weken incl. 27,5 '!B78</f>
        <v>126184</v>
      </c>
      <c r="C78" s="1"/>
      <c r="D78" s="136">
        <f>+'Tabel 2021 52 weken incl. 27,5 '!D78</f>
        <v>0.35699999999999998</v>
      </c>
      <c r="E78" s="134"/>
      <c r="F78" s="95">
        <f t="shared" si="0"/>
        <v>5.8133100000000004</v>
      </c>
      <c r="G78" s="94"/>
      <c r="H78" s="95">
        <f t="shared" si="1"/>
        <v>5.1138600000000007</v>
      </c>
      <c r="I78" s="1"/>
      <c r="J78" s="137">
        <f>+'Tabel 2021 52 weken incl. 27,5 '!J78</f>
        <v>0.83499999999999996</v>
      </c>
      <c r="K78" s="135"/>
      <c r="L78" s="97">
        <f t="shared" si="2"/>
        <v>1.9080500000000007</v>
      </c>
      <c r="M78" s="96"/>
      <c r="N78" s="97">
        <f t="shared" si="3"/>
        <v>1.7583000000000006</v>
      </c>
      <c r="O78" s="100"/>
      <c r="P78" s="101"/>
    </row>
    <row r="79" spans="1:16" ht="15" x14ac:dyDescent="0.2">
      <c r="A79" s="191">
        <f>+'Tabel 2021 52 weken incl. 27,5 '!A79</f>
        <v>126185</v>
      </c>
      <c r="B79" s="191">
        <f>+'Tabel 2021 52 weken incl. 27,5 '!B79</f>
        <v>129456</v>
      </c>
      <c r="C79" s="1"/>
      <c r="D79" s="136">
        <f>+'Tabel 2021 52 weken incl. 27,5 '!D79</f>
        <v>0.34100000000000003</v>
      </c>
      <c r="E79" s="134"/>
      <c r="F79" s="95">
        <f t="shared" si="0"/>
        <v>5.9440300000000006</v>
      </c>
      <c r="G79" s="94"/>
      <c r="H79" s="95">
        <f t="shared" si="1"/>
        <v>5.2261800000000003</v>
      </c>
      <c r="I79" s="1"/>
      <c r="J79" s="137">
        <f>+'Tabel 2021 52 weken incl. 27,5 '!J79</f>
        <v>0.83199999999999996</v>
      </c>
      <c r="K79" s="135"/>
      <c r="L79" s="97">
        <f t="shared" si="2"/>
        <v>1.9325600000000007</v>
      </c>
      <c r="M79" s="96"/>
      <c r="N79" s="97">
        <f t="shared" si="3"/>
        <v>1.7793600000000007</v>
      </c>
    </row>
    <row r="80" spans="1:16" ht="15" x14ac:dyDescent="0.2">
      <c r="A80" s="191">
        <f>+'Tabel 2021 52 weken incl. 27,5 '!A80</f>
        <v>129457</v>
      </c>
      <c r="B80" s="191">
        <f>+'Tabel 2021 52 weken incl. 27,5 '!B80</f>
        <v>132729</v>
      </c>
      <c r="C80" s="1"/>
      <c r="D80" s="136">
        <f>+'Tabel 2021 52 weken incl. 27,5 '!D80</f>
        <v>0.33300000000000002</v>
      </c>
      <c r="E80" s="134"/>
      <c r="F80" s="95">
        <f t="shared" si="0"/>
        <v>6.0093900000000007</v>
      </c>
      <c r="G80" s="94"/>
      <c r="H80" s="95">
        <f t="shared" si="1"/>
        <v>5.2823400000000005</v>
      </c>
      <c r="I80" s="1"/>
      <c r="J80" s="137">
        <f>+'Tabel 2021 52 weken incl. 27,5 '!J80</f>
        <v>0.82499999999999996</v>
      </c>
      <c r="K80" s="135"/>
      <c r="L80" s="97">
        <f t="shared" si="2"/>
        <v>1.9897500000000008</v>
      </c>
      <c r="M80" s="96"/>
      <c r="N80" s="97">
        <f t="shared" si="3"/>
        <v>1.8285000000000007</v>
      </c>
    </row>
    <row r="81" spans="1:14" ht="15" x14ac:dyDescent="0.2">
      <c r="A81" s="191">
        <f>+'Tabel 2021 52 weken incl. 27,5 '!A81</f>
        <v>132730</v>
      </c>
      <c r="B81" s="191">
        <f>+'Tabel 2021 52 weken incl. 27,5 '!B81</f>
        <v>135999</v>
      </c>
      <c r="C81" s="1"/>
      <c r="D81" s="136">
        <f>+'Tabel 2021 52 weken incl. 27,5 '!D81</f>
        <v>0.33300000000000002</v>
      </c>
      <c r="E81" s="134"/>
      <c r="F81" s="95">
        <f t="shared" si="0"/>
        <v>6.0093900000000007</v>
      </c>
      <c r="G81" s="94"/>
      <c r="H81" s="95">
        <f t="shared" si="1"/>
        <v>5.2823400000000005</v>
      </c>
      <c r="I81" s="1"/>
      <c r="J81" s="137">
        <f>+'Tabel 2021 52 weken incl. 27,5 '!J81</f>
        <v>0.81899999999999995</v>
      </c>
      <c r="K81" s="135"/>
      <c r="L81" s="97">
        <f t="shared" si="2"/>
        <v>2.0387700000000009</v>
      </c>
      <c r="M81" s="96"/>
      <c r="N81" s="97">
        <f t="shared" si="3"/>
        <v>1.8706200000000008</v>
      </c>
    </row>
    <row r="82" spans="1:14" ht="15" x14ac:dyDescent="0.2">
      <c r="A82" s="191">
        <f>+'Tabel 2021 52 weken incl. 27,5 '!A82</f>
        <v>136000</v>
      </c>
      <c r="B82" s="191">
        <f>+'Tabel 2021 52 weken incl. 27,5 '!B82</f>
        <v>139270</v>
      </c>
      <c r="C82" s="1"/>
      <c r="D82" s="136">
        <f>+'Tabel 2021 52 weken incl. 27,5 '!D82</f>
        <v>0.33300000000000002</v>
      </c>
      <c r="E82" s="134"/>
      <c r="F82" s="95">
        <f t="shared" si="0"/>
        <v>6.0093900000000007</v>
      </c>
      <c r="G82" s="94"/>
      <c r="H82" s="95">
        <f t="shared" si="1"/>
        <v>5.2823400000000005</v>
      </c>
      <c r="I82" s="1"/>
      <c r="J82" s="137">
        <f>+'Tabel 2021 52 weken incl. 27,5 '!J82</f>
        <v>0.80900000000000005</v>
      </c>
      <c r="K82" s="135"/>
      <c r="L82" s="97">
        <f t="shared" si="2"/>
        <v>2.1204700000000001</v>
      </c>
      <c r="M82" s="96"/>
      <c r="N82" s="97">
        <f t="shared" si="3"/>
        <v>1.94082</v>
      </c>
    </row>
    <row r="83" spans="1:14" ht="15" x14ac:dyDescent="0.2">
      <c r="A83" s="191">
        <f>+'Tabel 2021 52 weken incl. 27,5 '!A83</f>
        <v>139271</v>
      </c>
      <c r="B83" s="191">
        <f>+'Tabel 2021 52 weken incl. 27,5 '!B83</f>
        <v>142541</v>
      </c>
      <c r="C83" s="1"/>
      <c r="D83" s="136">
        <f>+'Tabel 2021 52 weken incl. 27,5 '!D83</f>
        <v>0.33300000000000002</v>
      </c>
      <c r="E83" s="134"/>
      <c r="F83" s="95">
        <f t="shared" si="0"/>
        <v>6.0093900000000007</v>
      </c>
      <c r="G83" s="94"/>
      <c r="H83" s="95">
        <f t="shared" si="1"/>
        <v>5.2823400000000005</v>
      </c>
      <c r="I83" s="1"/>
      <c r="J83" s="137">
        <f>+'Tabel 2021 52 weken incl. 27,5 '!J83</f>
        <v>0.80600000000000005</v>
      </c>
      <c r="K83" s="135"/>
      <c r="L83" s="97">
        <f t="shared" si="2"/>
        <v>2.1449800000000003</v>
      </c>
      <c r="M83" s="96"/>
      <c r="N83" s="97">
        <f t="shared" si="3"/>
        <v>1.9618800000000001</v>
      </c>
    </row>
    <row r="84" spans="1:14" ht="15" x14ac:dyDescent="0.2">
      <c r="A84" s="191">
        <f>+'Tabel 2021 52 weken incl. 27,5 '!A84</f>
        <v>142542</v>
      </c>
      <c r="B84" s="191">
        <f>+'Tabel 2021 52 weken incl. 27,5 '!B84</f>
        <v>145813</v>
      </c>
      <c r="C84" s="1"/>
      <c r="D84" s="136">
        <f>+'Tabel 2021 52 weken incl. 27,5 '!D84</f>
        <v>0.33300000000000002</v>
      </c>
      <c r="E84" s="134"/>
      <c r="F84" s="95">
        <f t="shared" si="0"/>
        <v>6.0093900000000007</v>
      </c>
      <c r="G84" s="94"/>
      <c r="H84" s="95">
        <f t="shared" si="1"/>
        <v>5.2823400000000005</v>
      </c>
      <c r="I84" s="1"/>
      <c r="J84" s="137">
        <f>+'Tabel 2021 52 weken incl. 27,5 '!J84</f>
        <v>0.79800000000000004</v>
      </c>
      <c r="K84" s="135"/>
      <c r="L84" s="97">
        <f t="shared" si="2"/>
        <v>2.2103400000000004</v>
      </c>
      <c r="M84" s="96"/>
      <c r="N84" s="97">
        <f t="shared" si="3"/>
        <v>2.0180400000000001</v>
      </c>
    </row>
    <row r="85" spans="1:14" ht="15" x14ac:dyDescent="0.2">
      <c r="A85" s="191">
        <f>+'Tabel 2021 52 weken incl. 27,5 '!A85</f>
        <v>145814</v>
      </c>
      <c r="B85" s="191">
        <f>+'Tabel 2021 52 weken incl. 27,5 '!B85</f>
        <v>149088</v>
      </c>
      <c r="C85" s="1"/>
      <c r="D85" s="136">
        <f>+'Tabel 2021 52 weken incl. 27,5 '!D85</f>
        <v>0.33300000000000002</v>
      </c>
      <c r="E85" s="134"/>
      <c r="F85" s="95">
        <f t="shared" si="0"/>
        <v>6.0093900000000007</v>
      </c>
      <c r="G85" s="94"/>
      <c r="H85" s="95">
        <f t="shared" si="1"/>
        <v>5.2823400000000005</v>
      </c>
      <c r="I85" s="1"/>
      <c r="J85" s="137">
        <f>+'Tabel 2021 52 weken incl. 27,5 '!J85</f>
        <v>0.78900000000000003</v>
      </c>
      <c r="K85" s="135"/>
      <c r="L85" s="97">
        <f t="shared" si="2"/>
        <v>2.2838700000000003</v>
      </c>
      <c r="M85" s="96"/>
      <c r="N85" s="97">
        <f t="shared" si="3"/>
        <v>2.0812200000000001</v>
      </c>
    </row>
    <row r="86" spans="1:14" ht="15" x14ac:dyDescent="0.2">
      <c r="A86" s="191">
        <f>+'Tabel 2021 52 weken incl. 27,5 '!A86</f>
        <v>149089</v>
      </c>
      <c r="B86" s="191">
        <f>+'Tabel 2021 52 weken incl. 27,5 '!B86</f>
        <v>152356</v>
      </c>
      <c r="C86" s="1"/>
      <c r="D86" s="136">
        <f>+'Tabel 2021 52 weken incl. 27,5 '!D86</f>
        <v>0.33300000000000002</v>
      </c>
      <c r="E86" s="134"/>
      <c r="F86" s="95">
        <f t="shared" si="0"/>
        <v>6.0093900000000007</v>
      </c>
      <c r="G86" s="94"/>
      <c r="H86" s="95">
        <f t="shared" si="1"/>
        <v>5.2823400000000005</v>
      </c>
      <c r="I86" s="1"/>
      <c r="J86" s="137">
        <f>+'Tabel 2021 52 weken incl. 27,5 '!J86</f>
        <v>0.78300000000000003</v>
      </c>
      <c r="K86" s="135"/>
      <c r="L86" s="97">
        <f t="shared" si="2"/>
        <v>2.3328900000000004</v>
      </c>
      <c r="M86" s="96"/>
      <c r="N86" s="97">
        <f t="shared" si="3"/>
        <v>2.1233400000000002</v>
      </c>
    </row>
    <row r="87" spans="1:14" ht="15" x14ac:dyDescent="0.2">
      <c r="A87" s="191">
        <f>+'Tabel 2021 52 weken incl. 27,5 '!A87</f>
        <v>152357</v>
      </c>
      <c r="B87" s="191">
        <f>+'Tabel 2021 52 weken incl. 27,5 '!B87</f>
        <v>155628</v>
      </c>
      <c r="C87" s="1"/>
      <c r="D87" s="136">
        <f>+'Tabel 2021 52 weken incl. 27,5 '!D87</f>
        <v>0.33300000000000002</v>
      </c>
      <c r="E87" s="134"/>
      <c r="F87" s="95">
        <f t="shared" si="0"/>
        <v>6.0093900000000007</v>
      </c>
      <c r="G87" s="94"/>
      <c r="H87" s="95">
        <f t="shared" si="1"/>
        <v>5.2823400000000005</v>
      </c>
      <c r="I87" s="1"/>
      <c r="J87" s="137">
        <f>+'Tabel 2021 52 weken incl. 27,5 '!J87</f>
        <v>0.77400000000000002</v>
      </c>
      <c r="K87" s="135"/>
      <c r="L87" s="97">
        <f t="shared" si="2"/>
        <v>2.4064200000000002</v>
      </c>
      <c r="M87" s="96"/>
      <c r="N87" s="97">
        <f t="shared" si="3"/>
        <v>2.1865200000000002</v>
      </c>
    </row>
    <row r="88" spans="1:14" ht="15" x14ac:dyDescent="0.2">
      <c r="A88" s="191">
        <f>+'Tabel 2021 52 weken incl. 27,5 '!A88</f>
        <v>155629</v>
      </c>
      <c r="B88" s="191">
        <f>+'Tabel 2021 52 weken incl. 27,5 '!B88</f>
        <v>158897</v>
      </c>
      <c r="C88" s="1"/>
      <c r="D88" s="136">
        <f>+'Tabel 2021 52 weken incl. 27,5 '!D88</f>
        <v>0.33300000000000002</v>
      </c>
      <c r="E88" s="134"/>
      <c r="F88" s="95">
        <f t="shared" si="0"/>
        <v>6.0093900000000007</v>
      </c>
      <c r="G88" s="94"/>
      <c r="H88" s="95">
        <f t="shared" si="1"/>
        <v>5.2823400000000005</v>
      </c>
      <c r="I88" s="1"/>
      <c r="J88" s="137">
        <f>+'Tabel 2021 52 weken incl. 27,5 '!J88</f>
        <v>0.76900000000000002</v>
      </c>
      <c r="K88" s="135"/>
      <c r="L88" s="97">
        <f t="shared" si="2"/>
        <v>2.4472700000000005</v>
      </c>
      <c r="M88" s="96"/>
      <c r="N88" s="97">
        <f t="shared" si="3"/>
        <v>2.2216200000000006</v>
      </c>
    </row>
    <row r="89" spans="1:14" ht="15" x14ac:dyDescent="0.2">
      <c r="A89" s="191">
        <f>+'Tabel 2021 52 weken incl. 27,5 '!A89</f>
        <v>158898</v>
      </c>
      <c r="B89" s="191">
        <f>+'Tabel 2021 52 weken incl. 27,5 '!B89</f>
        <v>162171</v>
      </c>
      <c r="C89" s="1"/>
      <c r="D89" s="136">
        <f>+'Tabel 2021 52 weken incl. 27,5 '!D89</f>
        <v>0.33300000000000002</v>
      </c>
      <c r="E89" s="134"/>
      <c r="F89" s="95">
        <f t="shared" si="0"/>
        <v>6.0093900000000007</v>
      </c>
      <c r="G89" s="94"/>
      <c r="H89" s="95">
        <f t="shared" si="1"/>
        <v>5.2823400000000005</v>
      </c>
      <c r="I89" s="1"/>
      <c r="J89" s="137">
        <f>+'Tabel 2021 52 weken incl. 27,5 '!J89</f>
        <v>0.76200000000000001</v>
      </c>
      <c r="K89" s="135"/>
      <c r="L89" s="97">
        <f t="shared" si="2"/>
        <v>2.5044600000000004</v>
      </c>
      <c r="M89" s="96"/>
      <c r="N89" s="97">
        <f t="shared" si="3"/>
        <v>2.2707600000000001</v>
      </c>
    </row>
    <row r="90" spans="1:14" ht="15" x14ac:dyDescent="0.2">
      <c r="A90" s="191">
        <f>+'Tabel 2021 52 weken incl. 27,5 '!A90</f>
        <v>162172</v>
      </c>
      <c r="B90" s="191">
        <f>+'Tabel 2021 52 weken incl. 27,5 '!B90</f>
        <v>165443</v>
      </c>
      <c r="C90" s="1"/>
      <c r="D90" s="136">
        <f>+'Tabel 2021 52 weken incl. 27,5 '!D90</f>
        <v>0.33300000000000002</v>
      </c>
      <c r="E90" s="134"/>
      <c r="F90" s="95">
        <f t="shared" si="0"/>
        <v>6.0093900000000007</v>
      </c>
      <c r="G90" s="94"/>
      <c r="H90" s="95">
        <f t="shared" si="1"/>
        <v>5.2823400000000005</v>
      </c>
      <c r="I90" s="1"/>
      <c r="J90" s="137">
        <f>+'Tabel 2021 52 weken incl. 27,5 '!J90</f>
        <v>0.755</v>
      </c>
      <c r="K90" s="135"/>
      <c r="L90" s="97">
        <f t="shared" si="2"/>
        <v>2.5616500000000006</v>
      </c>
      <c r="M90" s="96"/>
      <c r="N90" s="97">
        <f t="shared" si="3"/>
        <v>2.3199000000000005</v>
      </c>
    </row>
    <row r="91" spans="1:14" ht="15" x14ac:dyDescent="0.2">
      <c r="A91" s="191">
        <f>+'Tabel 2021 52 weken incl. 27,5 '!A91</f>
        <v>165444</v>
      </c>
      <c r="B91" s="191">
        <f>+'Tabel 2021 52 weken incl. 27,5 '!B91</f>
        <v>168714</v>
      </c>
      <c r="C91" s="1"/>
      <c r="D91" s="136">
        <f>+'Tabel 2021 52 weken incl. 27,5 '!D91</f>
        <v>0.33300000000000002</v>
      </c>
      <c r="E91" s="134"/>
      <c r="F91" s="95">
        <f t="shared" si="0"/>
        <v>6.0093900000000007</v>
      </c>
      <c r="G91" s="94"/>
      <c r="H91" s="95">
        <f t="shared" si="1"/>
        <v>5.2823400000000005</v>
      </c>
      <c r="I91" s="1"/>
      <c r="J91" s="137">
        <f>+'Tabel 2021 52 weken incl. 27,5 '!J91</f>
        <v>0.748</v>
      </c>
      <c r="K91" s="135"/>
      <c r="L91" s="97">
        <f t="shared" si="2"/>
        <v>2.6188400000000005</v>
      </c>
      <c r="M91" s="96"/>
      <c r="N91" s="97">
        <f t="shared" si="3"/>
        <v>2.3690400000000005</v>
      </c>
    </row>
    <row r="92" spans="1:14" ht="15" x14ac:dyDescent="0.2">
      <c r="A92" s="191">
        <f>+'Tabel 2021 52 weken incl. 27,5 '!A92</f>
        <v>168715</v>
      </c>
      <c r="B92" s="191">
        <f>+'Tabel 2021 52 weken incl. 27,5 '!B92</f>
        <v>171985</v>
      </c>
      <c r="C92" s="1"/>
      <c r="D92" s="136">
        <f>+'Tabel 2021 52 weken incl. 27,5 '!D92</f>
        <v>0.33300000000000002</v>
      </c>
      <c r="E92" s="134"/>
      <c r="F92" s="95">
        <f t="shared" si="0"/>
        <v>6.0093900000000007</v>
      </c>
      <c r="G92" s="94"/>
      <c r="H92" s="95">
        <f t="shared" si="1"/>
        <v>5.2823400000000005</v>
      </c>
      <c r="I92" s="1"/>
      <c r="J92" s="137">
        <f>+'Tabel 2021 52 weken incl. 27,5 '!J92</f>
        <v>0.73799999999999999</v>
      </c>
      <c r="K92" s="135"/>
      <c r="L92" s="97">
        <f t="shared" si="2"/>
        <v>2.7005400000000006</v>
      </c>
      <c r="M92" s="96"/>
      <c r="N92" s="97">
        <f t="shared" si="3"/>
        <v>2.4392400000000007</v>
      </c>
    </row>
    <row r="93" spans="1:14" ht="15" x14ac:dyDescent="0.2">
      <c r="A93" s="191">
        <f>+'Tabel 2021 52 weken incl. 27,5 '!A93</f>
        <v>171986</v>
      </c>
      <c r="B93" s="191">
        <f>+'Tabel 2021 52 weken incl. 27,5 '!B93</f>
        <v>175253</v>
      </c>
      <c r="C93" s="1"/>
      <c r="D93" s="136">
        <f>+'Tabel 2021 52 weken incl. 27,5 '!D93</f>
        <v>0.33300000000000002</v>
      </c>
      <c r="E93" s="134"/>
      <c r="F93" s="95">
        <f t="shared" si="0"/>
        <v>6.0093900000000007</v>
      </c>
      <c r="G93" s="94"/>
      <c r="H93" s="95">
        <f t="shared" si="1"/>
        <v>5.2823400000000005</v>
      </c>
      <c r="I93" s="1"/>
      <c r="J93" s="137">
        <f>+'Tabel 2021 52 weken incl. 27,5 '!J93</f>
        <v>0.73299999999999998</v>
      </c>
      <c r="K93" s="135"/>
      <c r="L93" s="97">
        <f t="shared" si="2"/>
        <v>2.7413900000000004</v>
      </c>
      <c r="M93" s="96"/>
      <c r="N93" s="97">
        <f t="shared" si="3"/>
        <v>2.4743400000000007</v>
      </c>
    </row>
    <row r="94" spans="1:14" ht="15" x14ac:dyDescent="0.2">
      <c r="A94" s="191">
        <f>+'Tabel 2021 52 weken incl. 27,5 '!A94</f>
        <v>175254</v>
      </c>
      <c r="B94" s="191">
        <f>+'Tabel 2021 52 weken incl. 27,5 '!B94</f>
        <v>178527</v>
      </c>
      <c r="C94" s="1"/>
      <c r="D94" s="136">
        <f>+'Tabel 2021 52 weken incl. 27,5 '!D94</f>
        <v>0.33300000000000002</v>
      </c>
      <c r="E94" s="134"/>
      <c r="F94" s="95">
        <f t="shared" si="0"/>
        <v>6.0093900000000007</v>
      </c>
      <c r="G94" s="94"/>
      <c r="H94" s="95">
        <f t="shared" si="1"/>
        <v>5.2823400000000005</v>
      </c>
      <c r="I94" s="1"/>
      <c r="J94" s="137">
        <f>+'Tabel 2021 52 weken incl. 27,5 '!J94</f>
        <v>0.72599999999999998</v>
      </c>
      <c r="K94" s="135"/>
      <c r="L94" s="97">
        <f t="shared" si="2"/>
        <v>2.7985800000000007</v>
      </c>
      <c r="M94" s="96"/>
      <c r="N94" s="97">
        <f t="shared" si="3"/>
        <v>2.5234800000000006</v>
      </c>
    </row>
    <row r="95" spans="1:14" ht="15" x14ac:dyDescent="0.2">
      <c r="A95" s="191">
        <f>+'Tabel 2021 52 weken incl. 27,5 '!A95</f>
        <v>178528</v>
      </c>
      <c r="B95" s="191">
        <f>+'Tabel 2021 52 weken incl. 27,5 '!B95</f>
        <v>181797</v>
      </c>
      <c r="C95" s="1"/>
      <c r="D95" s="136">
        <f>+'Tabel 2021 52 weken incl. 27,5 '!D95</f>
        <v>0.33300000000000002</v>
      </c>
      <c r="E95" s="134"/>
      <c r="F95" s="95">
        <f t="shared" si="0"/>
        <v>6.0093900000000007</v>
      </c>
      <c r="G95" s="94"/>
      <c r="H95" s="95">
        <f t="shared" si="1"/>
        <v>5.2823400000000005</v>
      </c>
      <c r="I95" s="1"/>
      <c r="J95" s="137">
        <f>+'Tabel 2021 52 weken incl. 27,5 '!J95</f>
        <v>0.71799999999999997</v>
      </c>
      <c r="K95" s="135"/>
      <c r="L95" s="97">
        <f t="shared" si="2"/>
        <v>2.8639400000000008</v>
      </c>
      <c r="M95" s="96"/>
      <c r="N95" s="97">
        <f t="shared" si="3"/>
        <v>2.5796400000000004</v>
      </c>
    </row>
    <row r="96" spans="1:14" ht="15" x14ac:dyDescent="0.2">
      <c r="A96" s="191">
        <f>+'Tabel 2021 52 weken incl. 27,5 '!A96</f>
        <v>181798</v>
      </c>
      <c r="B96" s="191">
        <f>+'Tabel 2021 52 weken incl. 27,5 '!B96</f>
        <v>185070</v>
      </c>
      <c r="C96" s="1"/>
      <c r="D96" s="136">
        <f>+'Tabel 2021 52 weken incl. 27,5 '!D96</f>
        <v>0.33300000000000002</v>
      </c>
      <c r="E96" s="134"/>
      <c r="F96" s="95">
        <f t="shared" si="0"/>
        <v>6.0093900000000007</v>
      </c>
      <c r="G96" s="94"/>
      <c r="H96" s="95">
        <f t="shared" si="1"/>
        <v>5.2823400000000005</v>
      </c>
      <c r="I96" s="1"/>
      <c r="J96" s="137">
        <f>+'Tabel 2021 52 weken incl. 27,5 '!J96</f>
        <v>0.71099999999999997</v>
      </c>
      <c r="K96" s="135"/>
      <c r="L96" s="97">
        <f t="shared" si="2"/>
        <v>2.9211300000000007</v>
      </c>
      <c r="M96" s="96"/>
      <c r="N96" s="97">
        <f t="shared" si="3"/>
        <v>2.6287800000000008</v>
      </c>
    </row>
    <row r="97" spans="1:14" ht="15" x14ac:dyDescent="0.2">
      <c r="A97" s="191">
        <f>+'Tabel 2021 52 weken incl. 27,5 '!A97</f>
        <v>185071</v>
      </c>
      <c r="B97" s="191">
        <f>+'Tabel 2021 52 weken incl. 27,5 '!B97</f>
        <v>188342</v>
      </c>
      <c r="C97" s="1"/>
      <c r="D97" s="136">
        <f>+'Tabel 2021 52 weken incl. 27,5 '!D97</f>
        <v>0.33300000000000002</v>
      </c>
      <c r="E97" s="134"/>
      <c r="F97" s="95">
        <f t="shared" si="0"/>
        <v>6.0093900000000007</v>
      </c>
      <c r="G97" s="94"/>
      <c r="H97" s="95">
        <f t="shared" si="1"/>
        <v>5.2823400000000005</v>
      </c>
      <c r="I97" s="1"/>
      <c r="J97" s="137">
        <f>+'Tabel 2021 52 weken incl. 27,5 '!J97</f>
        <v>0.70499999999999996</v>
      </c>
      <c r="K97" s="135"/>
      <c r="L97" s="97">
        <f t="shared" si="2"/>
        <v>2.9701500000000007</v>
      </c>
      <c r="M97" s="96"/>
      <c r="N97" s="97">
        <f t="shared" si="3"/>
        <v>2.6709000000000005</v>
      </c>
    </row>
    <row r="98" spans="1:14" ht="15" x14ac:dyDescent="0.2">
      <c r="A98" s="191">
        <f>+'Tabel 2021 52 weken incl. 27,5 '!A98</f>
        <v>188343</v>
      </c>
      <c r="B98" s="191">
        <f>+'Tabel 2021 52 weken incl. 27,5 '!B98</f>
        <v>191612</v>
      </c>
      <c r="C98" s="1"/>
      <c r="D98" s="136">
        <f>+'Tabel 2021 52 weken incl. 27,5 '!D98</f>
        <v>0.33300000000000002</v>
      </c>
      <c r="E98" s="134"/>
      <c r="F98" s="95">
        <f t="shared" ref="F98:F101" si="4">IF($D$19&gt;=$F$28,($F$28*(100%-D98))+($F$19),$D$19*(100%-D98)+$F$19)</f>
        <v>6.0093900000000007</v>
      </c>
      <c r="G98" s="94"/>
      <c r="H98" s="95">
        <f t="shared" ref="H98:H101" si="5">IF($D$20&gt;=$H$28,($H$28*(100%-D98))+($F$20),$D$20*(100%-D98)+($F$20))</f>
        <v>5.2823400000000005</v>
      </c>
      <c r="I98" s="1"/>
      <c r="J98" s="137">
        <f>+'Tabel 2021 52 weken incl. 27,5 '!J98</f>
        <v>0.69799999999999995</v>
      </c>
      <c r="K98" s="135"/>
      <c r="L98" s="97">
        <f t="shared" ref="L98:L101" si="6">IF($D$19&gt;=$L$28,($L$28*(100%-J98))+(F$19),$D$19*(100%-J98)+$F$19)</f>
        <v>3.027340000000001</v>
      </c>
      <c r="M98" s="96"/>
      <c r="N98" s="97">
        <f t="shared" ref="N98:N101" si="7">IF($D$20&gt;=$H$28,($H$28*(100%-J98))+($F$20),$D$20*(100%-J98)+($F$20))</f>
        <v>2.7200400000000009</v>
      </c>
    </row>
    <row r="99" spans="1:14" ht="15" x14ac:dyDescent="0.2">
      <c r="A99" s="191">
        <f>+'Tabel 2021 52 weken incl. 27,5 '!A99</f>
        <v>191613</v>
      </c>
      <c r="B99" s="191">
        <f>+'Tabel 2021 52 weken incl. 27,5 '!B99</f>
        <v>194884</v>
      </c>
      <c r="C99" s="1"/>
      <c r="D99" s="136">
        <f>+'Tabel 2021 52 weken incl. 27,5 '!D99</f>
        <v>0.33300000000000002</v>
      </c>
      <c r="E99" s="134"/>
      <c r="F99" s="95">
        <f t="shared" si="4"/>
        <v>6.0093900000000007</v>
      </c>
      <c r="G99" s="94"/>
      <c r="H99" s="95">
        <f t="shared" si="5"/>
        <v>5.2823400000000005</v>
      </c>
      <c r="I99" s="1"/>
      <c r="J99" s="137">
        <f>+'Tabel 2021 52 weken incl. 27,5 '!J99</f>
        <v>0.69</v>
      </c>
      <c r="K99" s="135"/>
      <c r="L99" s="97">
        <f t="shared" si="6"/>
        <v>3.0927000000000011</v>
      </c>
      <c r="M99" s="96"/>
      <c r="N99" s="97">
        <f t="shared" si="7"/>
        <v>2.7762000000000007</v>
      </c>
    </row>
    <row r="100" spans="1:14" ht="15" x14ac:dyDescent="0.2">
      <c r="A100" s="191">
        <f>+'Tabel 2021 52 weken incl. 27,5 '!A100</f>
        <v>194885</v>
      </c>
      <c r="B100" s="191">
        <f>+'Tabel 2021 52 weken incl. 27,5 '!B100</f>
        <v>198154</v>
      </c>
      <c r="C100" s="1"/>
      <c r="D100" s="136">
        <f>+'Tabel 2021 52 weken incl. 27,5 '!D100</f>
        <v>0.33300000000000002</v>
      </c>
      <c r="E100" s="134"/>
      <c r="F100" s="95">
        <f t="shared" si="4"/>
        <v>6.0093900000000007</v>
      </c>
      <c r="G100" s="94"/>
      <c r="H100" s="95">
        <f t="shared" si="5"/>
        <v>5.2823400000000005</v>
      </c>
      <c r="I100" s="1"/>
      <c r="J100" s="137">
        <f>+'Tabel 2021 52 weken incl. 27,5 '!J100</f>
        <v>0.68500000000000005</v>
      </c>
      <c r="K100" s="135"/>
      <c r="L100" s="97">
        <f t="shared" si="6"/>
        <v>3.1335500000000001</v>
      </c>
      <c r="M100" s="96"/>
      <c r="N100" s="97">
        <f t="shared" si="7"/>
        <v>2.8113000000000001</v>
      </c>
    </row>
    <row r="101" spans="1:14" ht="15" x14ac:dyDescent="0.2">
      <c r="A101" s="191">
        <f>+'Tabel 2021 52 weken incl. 27,5 '!A101</f>
        <v>198155</v>
      </c>
      <c r="B101" s="191" t="str">
        <f>+'Tabel 2021 52 weken incl. 27,5 '!B101</f>
        <v>en hoger</v>
      </c>
      <c r="C101" s="1"/>
      <c r="D101" s="136">
        <f>+'Tabel 2021 52 weken incl. 27,5 '!D101</f>
        <v>0.33300000000000002</v>
      </c>
      <c r="E101" s="134"/>
      <c r="F101" s="95">
        <f t="shared" si="4"/>
        <v>6.0093900000000007</v>
      </c>
      <c r="G101" s="94"/>
      <c r="H101" s="95">
        <f t="shared" si="5"/>
        <v>5.2823400000000005</v>
      </c>
      <c r="I101" s="1"/>
      <c r="J101" s="137">
        <f>+'Tabel 2021 52 weken incl. 27,5 '!J101</f>
        <v>0.67600000000000005</v>
      </c>
      <c r="K101" s="135"/>
      <c r="L101" s="97">
        <f t="shared" si="6"/>
        <v>3.2070799999999999</v>
      </c>
      <c r="M101" s="96"/>
      <c r="N101" s="97">
        <f t="shared" si="7"/>
        <v>2.8744800000000001</v>
      </c>
    </row>
    <row r="102" spans="1:14" x14ac:dyDescent="0.2">
      <c r="C102" s="1"/>
      <c r="I102" s="1"/>
    </row>
    <row r="103" spans="1:14" x14ac:dyDescent="0.2">
      <c r="C103" s="1"/>
      <c r="I103" s="1"/>
    </row>
    <row r="104" spans="1:14" x14ac:dyDescent="0.2">
      <c r="C104" s="1"/>
      <c r="I104" s="1"/>
    </row>
    <row r="105" spans="1:14" x14ac:dyDescent="0.2">
      <c r="A105" s="102"/>
      <c r="C105" s="1"/>
      <c r="I105" s="1"/>
    </row>
    <row r="106" spans="1:14" x14ac:dyDescent="0.2">
      <c r="A106" s="102"/>
      <c r="C106" s="1"/>
      <c r="I106" s="1"/>
    </row>
    <row r="107" spans="1:14" x14ac:dyDescent="0.2">
      <c r="C107" s="1"/>
      <c r="I107" s="1"/>
    </row>
    <row r="108" spans="1:14" x14ac:dyDescent="0.2">
      <c r="C108" s="1"/>
      <c r="I108" s="1"/>
    </row>
    <row r="109" spans="1:14" x14ac:dyDescent="0.2">
      <c r="C109" s="1"/>
      <c r="I109" s="1"/>
    </row>
    <row r="110" spans="1:14" ht="15.75" x14ac:dyDescent="0.2">
      <c r="A110" s="129"/>
      <c r="B110" s="130"/>
      <c r="C110" s="133"/>
      <c r="D110" s="128"/>
      <c r="I110" s="1"/>
    </row>
    <row r="111" spans="1:14" ht="15.75" x14ac:dyDescent="0.2">
      <c r="A111" s="130"/>
      <c r="B111" s="130"/>
      <c r="C111" s="133"/>
      <c r="D111" s="128"/>
      <c r="I111" s="1"/>
    </row>
    <row r="112" spans="1:14" ht="15.75" x14ac:dyDescent="0.2">
      <c r="A112" s="130"/>
      <c r="B112" s="130"/>
      <c r="C112" s="133"/>
      <c r="D112" s="128"/>
      <c r="I112" s="1"/>
    </row>
    <row r="113" spans="1:10" ht="15.75" x14ac:dyDescent="0.2">
      <c r="A113" s="130"/>
      <c r="B113" s="130"/>
      <c r="C113" s="133"/>
      <c r="D113" s="128"/>
      <c r="I113" s="1"/>
    </row>
    <row r="114" spans="1:10" ht="15.75" x14ac:dyDescent="0.2">
      <c r="A114" s="130"/>
      <c r="B114" s="130"/>
      <c r="C114" s="128"/>
      <c r="D114" s="128"/>
    </row>
    <row r="115" spans="1:10" ht="15.75" x14ac:dyDescent="0.2">
      <c r="A115" s="130"/>
      <c r="B115" s="130"/>
      <c r="C115" s="128"/>
      <c r="D115" s="128"/>
      <c r="F115"/>
      <c r="H115"/>
      <c r="J115"/>
    </row>
    <row r="116" spans="1:10" ht="15.75" x14ac:dyDescent="0.2">
      <c r="A116" s="130"/>
      <c r="B116" s="130"/>
      <c r="C116" s="128"/>
      <c r="D116" s="128"/>
      <c r="F116"/>
      <c r="H116"/>
      <c r="J116"/>
    </row>
    <row r="117" spans="1:10" ht="15.75" x14ac:dyDescent="0.2">
      <c r="A117" s="130"/>
      <c r="B117" s="130"/>
      <c r="C117" s="128"/>
      <c r="D117" s="128"/>
      <c r="F117"/>
      <c r="H117"/>
      <c r="J117"/>
    </row>
    <row r="118" spans="1:10" ht="15.75" x14ac:dyDescent="0.2">
      <c r="A118" s="130"/>
      <c r="B118" s="130"/>
      <c r="C118" s="128"/>
      <c r="D118" s="128"/>
      <c r="F118"/>
      <c r="H118"/>
      <c r="J118"/>
    </row>
    <row r="119" spans="1:10" ht="15.75" x14ac:dyDescent="0.2">
      <c r="A119" s="130"/>
      <c r="B119" s="130"/>
      <c r="C119" s="128"/>
      <c r="D119" s="128"/>
      <c r="F119"/>
      <c r="H119"/>
      <c r="J119"/>
    </row>
    <row r="120" spans="1:10" ht="15.75" x14ac:dyDescent="0.2">
      <c r="A120" s="130"/>
      <c r="B120" s="130"/>
      <c r="C120" s="128"/>
      <c r="D120" s="128"/>
      <c r="F120"/>
      <c r="H120"/>
      <c r="J120"/>
    </row>
    <row r="121" spans="1:10" ht="15.75" x14ac:dyDescent="0.2">
      <c r="A121" s="130"/>
      <c r="B121" s="130"/>
      <c r="C121" s="128"/>
      <c r="D121" s="128"/>
      <c r="F121"/>
      <c r="H121"/>
      <c r="J121"/>
    </row>
    <row r="122" spans="1:10" ht="15.75" x14ac:dyDescent="0.2">
      <c r="A122" s="130"/>
      <c r="B122" s="130"/>
      <c r="C122" s="128"/>
      <c r="D122" s="128"/>
      <c r="F122"/>
      <c r="H122"/>
      <c r="J122"/>
    </row>
    <row r="123" spans="1:10" ht="15.75" x14ac:dyDescent="0.2">
      <c r="A123" s="130"/>
      <c r="B123" s="130"/>
      <c r="C123" s="128"/>
      <c r="D123" s="128"/>
      <c r="F123"/>
      <c r="H123"/>
      <c r="J123"/>
    </row>
    <row r="124" spans="1:10" ht="15.75" x14ac:dyDescent="0.2">
      <c r="A124" s="130"/>
      <c r="B124" s="130"/>
      <c r="C124" s="128"/>
      <c r="D124" s="128"/>
      <c r="F124"/>
      <c r="H124"/>
      <c r="J124"/>
    </row>
    <row r="125" spans="1:10" ht="15.75" x14ac:dyDescent="0.2">
      <c r="A125" s="130"/>
      <c r="B125" s="130"/>
      <c r="C125" s="128"/>
      <c r="D125" s="128"/>
      <c r="F125"/>
      <c r="H125"/>
      <c r="J125"/>
    </row>
    <row r="126" spans="1:10" ht="15.75" x14ac:dyDescent="0.2">
      <c r="A126" s="130"/>
      <c r="B126" s="130"/>
      <c r="C126" s="128"/>
      <c r="D126" s="128"/>
      <c r="F126"/>
      <c r="H126"/>
      <c r="J126"/>
    </row>
    <row r="127" spans="1:10" ht="15.75" x14ac:dyDescent="0.2">
      <c r="A127" s="130"/>
      <c r="B127" s="130"/>
      <c r="C127" s="128"/>
      <c r="D127" s="128"/>
      <c r="F127"/>
      <c r="H127"/>
      <c r="J127"/>
    </row>
    <row r="128" spans="1:10" ht="15.75" x14ac:dyDescent="0.2">
      <c r="A128" s="130"/>
      <c r="B128" s="130"/>
      <c r="C128" s="128"/>
      <c r="D128" s="128"/>
      <c r="F128"/>
      <c r="H128"/>
      <c r="J128"/>
    </row>
    <row r="129" spans="1:10" ht="15.75" x14ac:dyDescent="0.2">
      <c r="A129" s="130"/>
      <c r="B129" s="130"/>
      <c r="C129" s="128"/>
      <c r="D129" s="128"/>
      <c r="F129"/>
      <c r="H129"/>
      <c r="J129"/>
    </row>
    <row r="130" spans="1:10" ht="15.75" x14ac:dyDescent="0.2">
      <c r="A130" s="130"/>
      <c r="B130" s="130"/>
      <c r="C130" s="128"/>
      <c r="D130" s="128"/>
      <c r="F130"/>
      <c r="H130"/>
      <c r="J130"/>
    </row>
    <row r="131" spans="1:10" ht="15.75" x14ac:dyDescent="0.2">
      <c r="A131" s="130"/>
      <c r="B131" s="130"/>
      <c r="C131" s="128"/>
      <c r="D131" s="128"/>
      <c r="F131"/>
      <c r="H131"/>
      <c r="J131"/>
    </row>
    <row r="132" spans="1:10" ht="15.75" x14ac:dyDescent="0.2">
      <c r="A132" s="130"/>
      <c r="B132" s="130"/>
      <c r="C132" s="128"/>
      <c r="D132" s="128"/>
      <c r="F132"/>
      <c r="H132"/>
      <c r="J132"/>
    </row>
    <row r="133" spans="1:10" ht="15.75" x14ac:dyDescent="0.2">
      <c r="A133" s="130"/>
      <c r="B133" s="130"/>
      <c r="C133" s="128"/>
      <c r="D133" s="128"/>
      <c r="F133"/>
      <c r="H133"/>
      <c r="J133"/>
    </row>
    <row r="134" spans="1:10" ht="15.75" x14ac:dyDescent="0.2">
      <c r="A134" s="130"/>
      <c r="B134" s="130"/>
      <c r="C134" s="128"/>
      <c r="D134" s="128"/>
      <c r="F134"/>
      <c r="H134"/>
      <c r="J134"/>
    </row>
    <row r="135" spans="1:10" ht="15.75" x14ac:dyDescent="0.2">
      <c r="A135" s="130"/>
      <c r="B135" s="130"/>
      <c r="C135" s="128"/>
      <c r="D135" s="128"/>
      <c r="F135"/>
      <c r="H135"/>
      <c r="J135"/>
    </row>
    <row r="136" spans="1:10" ht="15.75" x14ac:dyDescent="0.2">
      <c r="A136" s="130"/>
      <c r="B136" s="130"/>
      <c r="C136" s="128"/>
      <c r="D136" s="128"/>
      <c r="F136"/>
      <c r="H136"/>
      <c r="J136"/>
    </row>
    <row r="137" spans="1:10" ht="15.75" x14ac:dyDescent="0.2">
      <c r="A137" s="130"/>
      <c r="B137" s="130"/>
      <c r="C137" s="128"/>
      <c r="D137" s="128"/>
      <c r="F137"/>
      <c r="H137"/>
      <c r="J137"/>
    </row>
    <row r="138" spans="1:10" ht="15.75" x14ac:dyDescent="0.2">
      <c r="A138" s="130"/>
      <c r="B138" s="130"/>
      <c r="C138" s="128"/>
      <c r="D138" s="128"/>
      <c r="F138"/>
      <c r="H138"/>
      <c r="J138"/>
    </row>
    <row r="139" spans="1:10" ht="15.75" x14ac:dyDescent="0.2">
      <c r="A139" s="130"/>
      <c r="B139" s="130"/>
      <c r="C139" s="128"/>
      <c r="D139" s="128"/>
      <c r="F139"/>
      <c r="H139"/>
      <c r="J139"/>
    </row>
    <row r="140" spans="1:10" ht="15.75" x14ac:dyDescent="0.2">
      <c r="A140" s="130"/>
      <c r="B140" s="130"/>
      <c r="C140" s="128"/>
      <c r="D140" s="128"/>
      <c r="F140"/>
      <c r="H140"/>
      <c r="J140"/>
    </row>
    <row r="141" spans="1:10" ht="15.75" x14ac:dyDescent="0.2">
      <c r="A141" s="130"/>
      <c r="B141" s="130"/>
      <c r="C141" s="128"/>
      <c r="D141" s="128"/>
      <c r="F141"/>
      <c r="H141"/>
      <c r="J141"/>
    </row>
    <row r="142" spans="1:10" ht="15.75" x14ac:dyDescent="0.2">
      <c r="A142" s="130"/>
      <c r="B142" s="130"/>
      <c r="C142" s="128"/>
      <c r="D142" s="128"/>
      <c r="F142"/>
      <c r="H142"/>
      <c r="J142"/>
    </row>
    <row r="143" spans="1:10" ht="15.75" x14ac:dyDescent="0.2">
      <c r="A143" s="130"/>
      <c r="B143" s="130"/>
      <c r="C143" s="128"/>
      <c r="D143" s="128"/>
      <c r="F143"/>
      <c r="H143"/>
      <c r="J143"/>
    </row>
    <row r="144" spans="1:10" ht="15.75" x14ac:dyDescent="0.2">
      <c r="A144" s="130"/>
      <c r="B144" s="130"/>
      <c r="C144" s="128"/>
      <c r="D144" s="128"/>
      <c r="F144"/>
      <c r="H144"/>
      <c r="J144"/>
    </row>
    <row r="145" spans="1:10" ht="15.75" x14ac:dyDescent="0.2">
      <c r="A145" s="130"/>
      <c r="B145" s="130"/>
      <c r="C145" s="128"/>
      <c r="D145" s="128"/>
      <c r="F145"/>
      <c r="H145"/>
      <c r="J145"/>
    </row>
    <row r="146" spans="1:10" ht="15.75" x14ac:dyDescent="0.2">
      <c r="A146" s="130"/>
      <c r="B146" s="130"/>
      <c r="C146" s="128"/>
      <c r="D146" s="128"/>
      <c r="F146"/>
      <c r="H146"/>
      <c r="J146"/>
    </row>
    <row r="147" spans="1:10" ht="15.75" x14ac:dyDescent="0.2">
      <c r="A147" s="130"/>
      <c r="B147" s="130"/>
      <c r="C147" s="128"/>
      <c r="D147" s="128"/>
      <c r="F147"/>
      <c r="H147"/>
      <c r="J147"/>
    </row>
    <row r="148" spans="1:10" ht="15.75" x14ac:dyDescent="0.2">
      <c r="A148" s="130"/>
      <c r="B148" s="130"/>
      <c r="C148" s="128"/>
      <c r="D148" s="128"/>
      <c r="F148"/>
      <c r="H148"/>
      <c r="J148"/>
    </row>
    <row r="149" spans="1:10" ht="15.75" x14ac:dyDescent="0.2">
      <c r="A149" s="130"/>
      <c r="B149" s="130"/>
      <c r="C149" s="128"/>
      <c r="D149" s="128"/>
      <c r="F149"/>
      <c r="H149"/>
      <c r="J149"/>
    </row>
    <row r="150" spans="1:10" ht="15.75" x14ac:dyDescent="0.2">
      <c r="A150" s="131"/>
      <c r="B150" s="132"/>
      <c r="C150" s="128"/>
      <c r="D150" s="128"/>
      <c r="F150"/>
      <c r="H150"/>
      <c r="J150"/>
    </row>
    <row r="151" spans="1:10" ht="15.75" x14ac:dyDescent="0.2">
      <c r="A151" s="132"/>
      <c r="B151" s="132"/>
      <c r="C151" s="128"/>
      <c r="D151" s="128"/>
      <c r="F151"/>
      <c r="H151"/>
      <c r="J151"/>
    </row>
    <row r="152" spans="1:10" ht="15.75" x14ac:dyDescent="0.2">
      <c r="A152" s="132"/>
      <c r="B152" s="132"/>
      <c r="C152" s="128"/>
      <c r="D152" s="128"/>
      <c r="F152"/>
      <c r="H152"/>
      <c r="J152"/>
    </row>
    <row r="153" spans="1:10" ht="15.75" x14ac:dyDescent="0.2">
      <c r="A153" s="132"/>
      <c r="B153" s="132"/>
      <c r="C153" s="128"/>
      <c r="D153" s="128"/>
      <c r="F153"/>
      <c r="H153"/>
      <c r="J153"/>
    </row>
    <row r="154" spans="1:10" ht="15.75" x14ac:dyDescent="0.2">
      <c r="A154" s="132"/>
      <c r="B154" s="132"/>
      <c r="C154" s="128"/>
      <c r="D154" s="128"/>
      <c r="F154"/>
      <c r="H154"/>
      <c r="J154"/>
    </row>
    <row r="155" spans="1:10" ht="15.75" x14ac:dyDescent="0.2">
      <c r="A155" s="132"/>
      <c r="B155" s="132"/>
      <c r="C155" s="128"/>
      <c r="D155" s="128"/>
      <c r="F155"/>
      <c r="H155"/>
      <c r="J155"/>
    </row>
    <row r="156" spans="1:10" ht="15.75" x14ac:dyDescent="0.2">
      <c r="A156" s="132"/>
      <c r="B156" s="132"/>
      <c r="C156" s="128"/>
      <c r="D156" s="128"/>
      <c r="F156"/>
      <c r="H156"/>
      <c r="J156"/>
    </row>
    <row r="157" spans="1:10" ht="15.75" x14ac:dyDescent="0.2">
      <c r="A157" s="132"/>
      <c r="B157" s="132"/>
      <c r="C157" s="128"/>
      <c r="D157" s="128"/>
      <c r="F157"/>
      <c r="H157"/>
      <c r="J157"/>
    </row>
    <row r="158" spans="1:10" ht="15.75" x14ac:dyDescent="0.2">
      <c r="A158" s="132"/>
      <c r="B158" s="132"/>
      <c r="C158" s="128"/>
      <c r="D158" s="128"/>
      <c r="F158"/>
      <c r="H158"/>
      <c r="J158"/>
    </row>
    <row r="159" spans="1:10" ht="15.75" x14ac:dyDescent="0.2">
      <c r="A159" s="132"/>
      <c r="B159" s="132"/>
      <c r="C159" s="128"/>
      <c r="D159" s="128"/>
      <c r="F159"/>
      <c r="H159"/>
      <c r="J159"/>
    </row>
    <row r="160" spans="1:10" ht="15.75" x14ac:dyDescent="0.2">
      <c r="A160" s="132"/>
      <c r="B160" s="132"/>
      <c r="C160" s="128"/>
      <c r="D160" s="128"/>
      <c r="F160"/>
      <c r="H160"/>
      <c r="J160"/>
    </row>
    <row r="161" spans="1:10" ht="15.75" x14ac:dyDescent="0.2">
      <c r="A161" s="132"/>
      <c r="B161" s="132"/>
      <c r="C161" s="128"/>
      <c r="D161" s="128"/>
      <c r="F161"/>
      <c r="H161"/>
      <c r="J161"/>
    </row>
    <row r="162" spans="1:10" ht="15.75" x14ac:dyDescent="0.2">
      <c r="A162" s="132"/>
      <c r="B162" s="132"/>
      <c r="C162" s="128"/>
      <c r="D162" s="128"/>
      <c r="F162"/>
      <c r="H162"/>
      <c r="J162"/>
    </row>
    <row r="163" spans="1:10" ht="15.75" x14ac:dyDescent="0.2">
      <c r="A163" s="132"/>
      <c r="B163" s="132"/>
      <c r="C163" s="128"/>
      <c r="D163" s="128"/>
      <c r="F163"/>
      <c r="H163"/>
      <c r="J163"/>
    </row>
    <row r="164" spans="1:10" ht="15.75" x14ac:dyDescent="0.2">
      <c r="A164" s="132"/>
      <c r="B164" s="132"/>
      <c r="C164" s="128"/>
      <c r="D164" s="128"/>
      <c r="F164"/>
      <c r="H164"/>
      <c r="J164"/>
    </row>
    <row r="165" spans="1:10" ht="15.75" x14ac:dyDescent="0.2">
      <c r="A165" s="132"/>
      <c r="B165" s="132"/>
      <c r="C165" s="128"/>
      <c r="D165" s="128"/>
      <c r="F165"/>
      <c r="H165"/>
      <c r="J165"/>
    </row>
    <row r="166" spans="1:10" ht="15.75" x14ac:dyDescent="0.2">
      <c r="A166" s="132"/>
      <c r="B166" s="132"/>
      <c r="C166" s="128"/>
      <c r="D166" s="128"/>
      <c r="F166"/>
      <c r="H166"/>
      <c r="J166"/>
    </row>
    <row r="167" spans="1:10" ht="15.75" x14ac:dyDescent="0.2">
      <c r="A167" s="132"/>
      <c r="B167" s="131"/>
      <c r="C167" s="128"/>
      <c r="D167" s="128"/>
      <c r="F167"/>
      <c r="H167"/>
      <c r="J167"/>
    </row>
    <row r="168" spans="1:10" ht="15.75" x14ac:dyDescent="0.2">
      <c r="A168" s="132"/>
      <c r="B168" s="132"/>
      <c r="C168" s="128"/>
      <c r="D168" s="128"/>
      <c r="F168"/>
      <c r="H168"/>
      <c r="J168"/>
    </row>
    <row r="169" spans="1:10" ht="15.75" x14ac:dyDescent="0.2">
      <c r="A169" s="132"/>
      <c r="B169" s="132"/>
      <c r="C169" s="128"/>
      <c r="D169" s="128"/>
      <c r="F169"/>
      <c r="H169"/>
      <c r="J169"/>
    </row>
    <row r="170" spans="1:10" ht="15.75" x14ac:dyDescent="0.2">
      <c r="A170" s="132"/>
      <c r="B170" s="132"/>
      <c r="C170" s="128"/>
      <c r="D170" s="128"/>
      <c r="F170"/>
      <c r="H170"/>
      <c r="J170"/>
    </row>
    <row r="171" spans="1:10" ht="15.75" x14ac:dyDescent="0.2">
      <c r="A171" s="132"/>
      <c r="B171" s="132"/>
      <c r="C171" s="128"/>
      <c r="D171" s="128"/>
      <c r="F171"/>
      <c r="H171"/>
      <c r="J171"/>
    </row>
    <row r="172" spans="1:10" ht="15.75" x14ac:dyDescent="0.2">
      <c r="A172" s="132"/>
      <c r="B172" s="132"/>
      <c r="C172" s="128"/>
      <c r="D172" s="128"/>
      <c r="F172"/>
      <c r="H172"/>
      <c r="J172"/>
    </row>
    <row r="173" spans="1:10" ht="15.75" x14ac:dyDescent="0.2">
      <c r="A173" s="132"/>
      <c r="B173" s="132"/>
      <c r="C173" s="128"/>
      <c r="D173" s="128"/>
      <c r="F173"/>
      <c r="H173"/>
      <c r="J173"/>
    </row>
    <row r="174" spans="1:10" ht="15.75" x14ac:dyDescent="0.2">
      <c r="A174" s="132"/>
      <c r="B174" s="132"/>
      <c r="C174" s="128"/>
      <c r="D174" s="128"/>
      <c r="F174"/>
      <c r="H174"/>
      <c r="J174"/>
    </row>
    <row r="175" spans="1:10" ht="15.75" x14ac:dyDescent="0.2">
      <c r="A175" s="132"/>
      <c r="B175" s="132"/>
      <c r="C175" s="128"/>
      <c r="D175" s="128"/>
      <c r="F175"/>
      <c r="H175"/>
      <c r="J175"/>
    </row>
    <row r="176" spans="1:10" ht="15.75" x14ac:dyDescent="0.2">
      <c r="A176" s="132"/>
      <c r="B176" s="132"/>
      <c r="C176" s="128"/>
      <c r="D176" s="128"/>
      <c r="F176"/>
      <c r="H176"/>
      <c r="J176"/>
    </row>
    <row r="177" spans="1:10" ht="15.75" x14ac:dyDescent="0.2">
      <c r="A177" s="132"/>
      <c r="B177" s="132"/>
      <c r="C177" s="128"/>
      <c r="D177" s="128"/>
      <c r="F177"/>
      <c r="H177"/>
      <c r="J177"/>
    </row>
    <row r="178" spans="1:10" ht="15.75" x14ac:dyDescent="0.2">
      <c r="A178" s="132"/>
      <c r="B178" s="129"/>
      <c r="C178" s="128"/>
      <c r="D178" s="128"/>
      <c r="F178"/>
      <c r="H178"/>
      <c r="J178"/>
    </row>
  </sheetData>
  <mergeCells count="3">
    <mergeCell ref="A24:B24"/>
    <mergeCell ref="D24:H24"/>
    <mergeCell ref="J24:N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8"/>
  <sheetViews>
    <sheetView topLeftCell="A8" workbookViewId="0">
      <pane ySplit="9" topLeftCell="A17" activePane="bottomLeft" state="frozen"/>
      <selection activeCell="A8" sqref="A8"/>
      <selection pane="bottomLeft" activeCell="A33" sqref="A33"/>
    </sheetView>
  </sheetViews>
  <sheetFormatPr defaultRowHeight="12.75" x14ac:dyDescent="0.2"/>
  <cols>
    <col min="1" max="2" width="12" style="67" customWidth="1"/>
    <col min="3" max="3" width="2.7109375" customWidth="1"/>
    <col min="4" max="4" width="12" style="68" customWidth="1"/>
    <col min="5" max="5" width="2.7109375" customWidth="1"/>
    <col min="6" max="6" width="12" style="69" customWidth="1"/>
    <col min="7" max="7" width="2.7109375" customWidth="1"/>
    <col min="8" max="8" width="12" style="69" customWidth="1"/>
    <col min="9" max="9" width="2.7109375" customWidth="1"/>
    <col min="10" max="10" width="12" style="68" customWidth="1"/>
    <col min="11" max="11" width="2.7109375" customWidth="1"/>
    <col min="12" max="12" width="12" customWidth="1"/>
    <col min="13" max="13" width="2.7109375" customWidth="1"/>
    <col min="14" max="14" width="12" customWidth="1"/>
  </cols>
  <sheetData>
    <row r="1" spans="1:2" s="1" customFormat="1" ht="19.5" x14ac:dyDescent="0.25">
      <c r="A1" s="63" t="s">
        <v>211</v>
      </c>
    </row>
    <row r="2" spans="1:2" s="1" customFormat="1" x14ac:dyDescent="0.2">
      <c r="A2" s="1" t="s">
        <v>214</v>
      </c>
    </row>
    <row r="3" spans="1:2" s="1" customFormat="1" x14ac:dyDescent="0.2"/>
    <row r="4" spans="1:2" s="1" customFormat="1" x14ac:dyDescent="0.2"/>
    <row r="5" spans="1:2" s="1" customFormat="1" ht="14.25" x14ac:dyDescent="0.2">
      <c r="A5" s="64" t="s">
        <v>55</v>
      </c>
    </row>
    <row r="6" spans="1:2" s="1" customFormat="1" x14ac:dyDescent="0.2"/>
    <row r="7" spans="1:2" s="1" customFormat="1" ht="15" x14ac:dyDescent="0.2">
      <c r="A7" s="65" t="s">
        <v>56</v>
      </c>
      <c r="B7" s="1" t="s">
        <v>57</v>
      </c>
    </row>
    <row r="8" spans="1:2" s="1" customFormat="1" ht="15" x14ac:dyDescent="0.2">
      <c r="A8" s="65" t="s">
        <v>58</v>
      </c>
      <c r="B8" s="1" t="s">
        <v>217</v>
      </c>
    </row>
    <row r="9" spans="1:2" s="1" customFormat="1" ht="15" x14ac:dyDescent="0.2">
      <c r="A9" s="66"/>
      <c r="B9" s="1" t="s">
        <v>59</v>
      </c>
    </row>
    <row r="10" spans="1:2" s="1" customFormat="1" ht="15" x14ac:dyDescent="0.2">
      <c r="A10" s="66"/>
      <c r="B10" s="10" t="s">
        <v>60</v>
      </c>
    </row>
    <row r="11" spans="1:2" s="1" customFormat="1" ht="15" x14ac:dyDescent="0.2">
      <c r="A11" s="66"/>
      <c r="B11" s="10" t="s">
        <v>61</v>
      </c>
    </row>
    <row r="12" spans="1:2" s="1" customFormat="1" ht="15" x14ac:dyDescent="0.2">
      <c r="A12" s="65" t="s">
        <v>62</v>
      </c>
      <c r="B12" s="1" t="s">
        <v>218</v>
      </c>
    </row>
    <row r="13" spans="1:2" s="1" customFormat="1" x14ac:dyDescent="0.2">
      <c r="B13" s="1" t="s">
        <v>59</v>
      </c>
    </row>
    <row r="14" spans="1:2" s="1" customFormat="1" x14ac:dyDescent="0.2">
      <c r="B14" s="10" t="s">
        <v>60</v>
      </c>
    </row>
    <row r="15" spans="1:2" s="1" customFormat="1" x14ac:dyDescent="0.2">
      <c r="B15" s="10" t="s">
        <v>61</v>
      </c>
    </row>
    <row r="16" spans="1:2" s="1" customFormat="1" x14ac:dyDescent="0.2">
      <c r="B16" s="10"/>
    </row>
    <row r="17" spans="1:14" s="1" customFormat="1" x14ac:dyDescent="0.2">
      <c r="B17" s="10"/>
    </row>
    <row r="18" spans="1:14" x14ac:dyDescent="0.2">
      <c r="F18" s="69" t="s">
        <v>63</v>
      </c>
      <c r="J18" s="70"/>
    </row>
    <row r="19" spans="1:14" x14ac:dyDescent="0.2">
      <c r="A19" s="69" t="s">
        <v>64</v>
      </c>
      <c r="D19" s="337">
        <f>+'Tabel 2021 52 weken incl. 27,5 '!D19</f>
        <v>8.17</v>
      </c>
      <c r="F19" s="250">
        <f>IF(F28-D19&gt;0,F28-D19,0)</f>
        <v>1.0999999999999996</v>
      </c>
      <c r="L19" s="71"/>
      <c r="N19" s="69"/>
    </row>
    <row r="20" spans="1:14" x14ac:dyDescent="0.2">
      <c r="A20" s="69" t="s">
        <v>65</v>
      </c>
      <c r="D20" s="337">
        <f>+'Tabel 2021 52 weken incl. 27,5 '!D20</f>
        <v>7.02</v>
      </c>
      <c r="F20" s="69">
        <f>H28-D20</f>
        <v>1.0899999999999999</v>
      </c>
      <c r="N20" s="69"/>
    </row>
    <row r="21" spans="1:14" x14ac:dyDescent="0.2">
      <c r="A21" s="69"/>
      <c r="D21" s="69"/>
      <c r="N21" s="69"/>
    </row>
    <row r="22" spans="1:14" x14ac:dyDescent="0.2">
      <c r="A22" s="69"/>
      <c r="D22" s="69"/>
      <c r="N22" s="69"/>
    </row>
    <row r="23" spans="1:14" x14ac:dyDescent="0.2">
      <c r="A23" s="69"/>
      <c r="D23" s="69"/>
      <c r="G23" s="69"/>
      <c r="N23" s="69"/>
    </row>
    <row r="24" spans="1:14" ht="15" x14ac:dyDescent="0.2">
      <c r="A24" s="348" t="s">
        <v>66</v>
      </c>
      <c r="B24" s="348"/>
      <c r="D24" s="349" t="s">
        <v>67</v>
      </c>
      <c r="E24" s="349"/>
      <c r="F24" s="349"/>
      <c r="G24" s="349"/>
      <c r="H24" s="349"/>
      <c r="I24" s="72"/>
      <c r="J24" s="350" t="s">
        <v>68</v>
      </c>
      <c r="K24" s="350"/>
      <c r="L24" s="350"/>
      <c r="M24" s="350"/>
      <c r="N24" s="350"/>
    </row>
    <row r="25" spans="1:14" x14ac:dyDescent="0.2">
      <c r="A25" s="73" t="s">
        <v>69</v>
      </c>
      <c r="B25" s="73"/>
      <c r="D25" s="251" t="s">
        <v>70</v>
      </c>
      <c r="E25" s="74"/>
      <c r="F25" s="75"/>
      <c r="G25" s="74"/>
      <c r="H25" s="75"/>
      <c r="J25" s="252" t="s">
        <v>70</v>
      </c>
      <c r="K25" s="76"/>
      <c r="L25" s="76"/>
      <c r="M25" s="76"/>
      <c r="N25" s="76"/>
    </row>
    <row r="26" spans="1:14" x14ac:dyDescent="0.2">
      <c r="A26" s="73" t="s">
        <v>71</v>
      </c>
      <c r="B26" s="73"/>
      <c r="D26" s="251" t="s">
        <v>72</v>
      </c>
      <c r="E26" s="74"/>
      <c r="F26" s="77" t="s">
        <v>73</v>
      </c>
      <c r="G26" s="78"/>
      <c r="H26" s="77" t="s">
        <v>74</v>
      </c>
      <c r="J26" s="252" t="s">
        <v>72</v>
      </c>
      <c r="K26" s="76"/>
      <c r="L26" s="79" t="s">
        <v>75</v>
      </c>
      <c r="M26" s="76"/>
      <c r="N26" s="79" t="s">
        <v>76</v>
      </c>
    </row>
    <row r="27" spans="1:14" x14ac:dyDescent="0.2">
      <c r="A27" s="73"/>
      <c r="B27" s="73"/>
      <c r="D27" s="80"/>
      <c r="E27" s="74"/>
      <c r="F27" s="81" t="s">
        <v>77</v>
      </c>
      <c r="G27" s="82"/>
      <c r="H27" s="81" t="s">
        <v>78</v>
      </c>
      <c r="J27" s="83"/>
      <c r="K27" s="76"/>
      <c r="L27" s="84" t="s">
        <v>77</v>
      </c>
      <c r="M27" s="85"/>
      <c r="N27" s="84" t="s">
        <v>78</v>
      </c>
    </row>
    <row r="28" spans="1:14" x14ac:dyDescent="0.2">
      <c r="A28" s="73"/>
      <c r="B28" s="73"/>
      <c r="D28" s="80"/>
      <c r="E28" s="74"/>
      <c r="F28" s="249">
        <v>9.27</v>
      </c>
      <c r="G28" s="82"/>
      <c r="H28" s="249">
        <v>8.11</v>
      </c>
      <c r="J28" s="83"/>
      <c r="K28" s="76"/>
      <c r="L28" s="86">
        <f>F28</f>
        <v>9.27</v>
      </c>
      <c r="M28" s="76"/>
      <c r="N28" s="86">
        <f>H28</f>
        <v>8.11</v>
      </c>
    </row>
    <row r="29" spans="1:14" ht="13.5" thickBot="1" x14ac:dyDescent="0.25">
      <c r="A29" s="73"/>
      <c r="B29" s="73"/>
      <c r="D29" s="80"/>
      <c r="E29" s="74"/>
      <c r="F29" s="75"/>
      <c r="G29" s="74"/>
      <c r="H29" s="75"/>
      <c r="J29" s="83"/>
      <c r="K29" s="76"/>
      <c r="L29" s="76"/>
      <c r="M29" s="76"/>
      <c r="N29" s="76"/>
    </row>
    <row r="30" spans="1:14" x14ac:dyDescent="0.2">
      <c r="A30" s="87" t="s">
        <v>79</v>
      </c>
      <c r="B30" s="87" t="s">
        <v>80</v>
      </c>
      <c r="C30" s="1"/>
      <c r="D30" s="254" t="s">
        <v>81</v>
      </c>
      <c r="E30" s="88"/>
      <c r="F30" s="89" t="s">
        <v>82</v>
      </c>
      <c r="G30" s="88"/>
      <c r="H30" s="89" t="s">
        <v>82</v>
      </c>
      <c r="J30" s="255" t="s">
        <v>83</v>
      </c>
      <c r="K30" s="76"/>
      <c r="L30" s="90" t="s">
        <v>82</v>
      </c>
      <c r="M30" s="76"/>
      <c r="N30" s="90" t="s">
        <v>82</v>
      </c>
    </row>
    <row r="31" spans="1:14" ht="13.5" thickBot="1" x14ac:dyDescent="0.25">
      <c r="A31" s="91"/>
      <c r="B31" s="91"/>
      <c r="C31" s="1"/>
      <c r="D31" s="256" t="s">
        <v>84</v>
      </c>
      <c r="E31" s="88"/>
      <c r="F31" s="92" t="s">
        <v>85</v>
      </c>
      <c r="G31" s="88"/>
      <c r="H31" s="92" t="s">
        <v>85</v>
      </c>
      <c r="J31" s="257" t="s">
        <v>86</v>
      </c>
      <c r="K31" s="76"/>
      <c r="L31" s="93" t="s">
        <v>85</v>
      </c>
      <c r="M31" s="76"/>
      <c r="N31" s="93" t="s">
        <v>85</v>
      </c>
    </row>
    <row r="32" spans="1:14" x14ac:dyDescent="0.2">
      <c r="A32" s="73"/>
      <c r="B32" s="73"/>
      <c r="D32" s="80"/>
      <c r="E32" s="74"/>
      <c r="F32" s="75"/>
      <c r="G32" s="74"/>
      <c r="H32" s="75"/>
      <c r="J32" s="83"/>
      <c r="K32" s="76"/>
      <c r="L32" s="76"/>
      <c r="M32" s="76"/>
      <c r="N32" s="76"/>
    </row>
    <row r="33" spans="1:24" ht="15" x14ac:dyDescent="0.2">
      <c r="A33" s="191" t="str">
        <f>+'Tabel 2021 52 weken incl. 27,5 '!A33</f>
        <v>lager dan</v>
      </c>
      <c r="B33" s="191">
        <f>+'Tabel 2021 52 weken incl. 27,5 '!B33</f>
        <v>20302</v>
      </c>
      <c r="C33" s="1"/>
      <c r="D33" s="136">
        <f>+'Tabel 2021 52 weken incl. 27,5 '!D33</f>
        <v>0.96</v>
      </c>
      <c r="E33" s="134"/>
      <c r="F33" s="95">
        <f>IF($D$19&gt;=$F$28,($F$28*(100%-D33))+($F$19),$D$19*(100%-D33)+$F$19)</f>
        <v>1.4268000000000001</v>
      </c>
      <c r="G33" s="94"/>
      <c r="H33" s="95">
        <f>IF($D$20&gt;=$H$28,($H$28*(100%-D33))+($F$20),$D$20*(100%-D33)+($F$20))</f>
        <v>1.3708</v>
      </c>
      <c r="I33" s="1"/>
      <c r="J33" s="137">
        <f>+'Tabel 2021 52 weken incl. 27,5 '!J33</f>
        <v>0.96</v>
      </c>
      <c r="K33" s="135"/>
      <c r="L33" s="97">
        <f>IF($D$19&gt;=$L$28,($L$28*(100%-J33))+(F$19),$D$19*(100%-J33)+$F$19)</f>
        <v>1.4268000000000001</v>
      </c>
      <c r="M33" s="96"/>
      <c r="N33" s="97">
        <f>IF($D$20&gt;=$H$28,($H$28*(100%-J33))+($F$20),$D$20*(100%-J33)+($F$20))</f>
        <v>1.3708</v>
      </c>
      <c r="P33" s="258"/>
    </row>
    <row r="34" spans="1:24" ht="15" x14ac:dyDescent="0.2">
      <c r="A34" s="191">
        <f>+'Tabel 2021 52 weken incl. 27,5 '!A34</f>
        <v>20303</v>
      </c>
      <c r="B34" s="191">
        <f>+'Tabel 2021 52 weken incl. 27,5 '!B34</f>
        <v>21654</v>
      </c>
      <c r="C34" s="1"/>
      <c r="D34" s="136">
        <f>+'Tabel 2021 52 weken incl. 27,5 '!D34</f>
        <v>0.96</v>
      </c>
      <c r="E34" s="134"/>
      <c r="F34" s="95">
        <f t="shared" ref="F34:F97" si="0">IF($D$19&gt;=$F$28,($F$28*(100%-D34))+($F$19),$D$19*(100%-D34)+$F$19)</f>
        <v>1.4268000000000001</v>
      </c>
      <c r="G34" s="94"/>
      <c r="H34" s="95">
        <f t="shared" ref="H34:H97" si="1">IF($D$20&gt;=$H$28,($H$28*(100%-D34))+($F$20),$D$20*(100%-D34)+($F$20))</f>
        <v>1.3708</v>
      </c>
      <c r="I34" s="1"/>
      <c r="J34" s="137">
        <f>+'Tabel 2021 52 weken incl. 27,5 '!J34</f>
        <v>0.96</v>
      </c>
      <c r="K34" s="135"/>
      <c r="L34" s="97">
        <f t="shared" ref="L34:L97" si="2">IF($D$19&gt;=$L$28,($L$28*(100%-J34))+(F$19),$D$19*(100%-J34)+$F$19)</f>
        <v>1.4268000000000001</v>
      </c>
      <c r="M34" s="96"/>
      <c r="N34" s="97">
        <f t="shared" ref="N34:N97" si="3">IF($D$20&gt;=$H$28,($H$28*(100%-J34))+($F$20),$D$20*(100%-J34)+($F$20))</f>
        <v>1.3708</v>
      </c>
    </row>
    <row r="35" spans="1:24" ht="15" x14ac:dyDescent="0.2">
      <c r="A35" s="191">
        <f>+'Tabel 2021 52 weken incl. 27,5 '!A35</f>
        <v>21655</v>
      </c>
      <c r="B35" s="191">
        <f>+'Tabel 2021 52 weken incl. 27,5 '!B35</f>
        <v>23004</v>
      </c>
      <c r="C35" s="1"/>
      <c r="D35" s="136">
        <f>+'Tabel 2021 52 weken incl. 27,5 '!D35</f>
        <v>0.96</v>
      </c>
      <c r="E35" s="134"/>
      <c r="F35" s="95">
        <f t="shared" si="0"/>
        <v>1.4268000000000001</v>
      </c>
      <c r="G35" s="94"/>
      <c r="H35" s="95">
        <f t="shared" si="1"/>
        <v>1.3708</v>
      </c>
      <c r="I35" s="1"/>
      <c r="J35" s="137">
        <f>+'Tabel 2021 52 weken incl. 27,5 '!J35</f>
        <v>0.96</v>
      </c>
      <c r="K35" s="135"/>
      <c r="L35" s="97">
        <f t="shared" si="2"/>
        <v>1.4268000000000001</v>
      </c>
      <c r="M35" s="96"/>
      <c r="N35" s="97">
        <f t="shared" si="3"/>
        <v>1.3708</v>
      </c>
      <c r="R35" s="98"/>
    </row>
    <row r="36" spans="1:24" ht="15" x14ac:dyDescent="0.2">
      <c r="A36" s="191">
        <f>+'Tabel 2021 52 weken incl. 27,5 '!A36</f>
        <v>23005</v>
      </c>
      <c r="B36" s="191">
        <f>+'Tabel 2021 52 weken incl. 27,5 '!B36</f>
        <v>24357</v>
      </c>
      <c r="C36" s="1"/>
      <c r="D36" s="136">
        <f>+'Tabel 2021 52 weken incl. 27,5 '!D36</f>
        <v>0.96</v>
      </c>
      <c r="E36" s="134"/>
      <c r="F36" s="95">
        <f t="shared" si="0"/>
        <v>1.4268000000000001</v>
      </c>
      <c r="G36" s="94"/>
      <c r="H36" s="95">
        <f t="shared" si="1"/>
        <v>1.3708</v>
      </c>
      <c r="I36" s="1"/>
      <c r="J36" s="137">
        <f>+'Tabel 2021 52 weken incl. 27,5 '!J36</f>
        <v>0.96</v>
      </c>
      <c r="K36" s="135"/>
      <c r="L36" s="97">
        <f t="shared" si="2"/>
        <v>1.4268000000000001</v>
      </c>
      <c r="M36" s="96"/>
      <c r="N36" s="97">
        <f t="shared" si="3"/>
        <v>1.3708</v>
      </c>
    </row>
    <row r="37" spans="1:24" ht="15" x14ac:dyDescent="0.2">
      <c r="A37" s="191">
        <f>+'Tabel 2021 52 weken incl. 27,5 '!A37</f>
        <v>24358</v>
      </c>
      <c r="B37" s="191">
        <f>+'Tabel 2021 52 weken incl. 27,5 '!B37</f>
        <v>25709</v>
      </c>
      <c r="C37" s="1"/>
      <c r="D37" s="136">
        <f>+'Tabel 2021 52 weken incl. 27,5 '!D37</f>
        <v>0.96</v>
      </c>
      <c r="E37" s="134"/>
      <c r="F37" s="95">
        <f t="shared" si="0"/>
        <v>1.4268000000000001</v>
      </c>
      <c r="G37" s="94"/>
      <c r="H37" s="95">
        <f t="shared" si="1"/>
        <v>1.3708</v>
      </c>
      <c r="I37" s="1"/>
      <c r="J37" s="137">
        <f>+'Tabel 2021 52 weken incl. 27,5 '!J37</f>
        <v>0.96</v>
      </c>
      <c r="K37" s="135"/>
      <c r="L37" s="97">
        <f t="shared" si="2"/>
        <v>1.4268000000000001</v>
      </c>
      <c r="M37" s="96"/>
      <c r="N37" s="97">
        <f t="shared" si="3"/>
        <v>1.3708</v>
      </c>
    </row>
    <row r="38" spans="1:24" ht="15" x14ac:dyDescent="0.2">
      <c r="A38" s="191">
        <f>+'Tabel 2021 52 weken incl. 27,5 '!A38</f>
        <v>25710</v>
      </c>
      <c r="B38" s="191">
        <f>+'Tabel 2021 52 weken incl. 27,5 '!B38</f>
        <v>27061</v>
      </c>
      <c r="C38" s="1"/>
      <c r="D38" s="136">
        <f>+'Tabel 2021 52 weken incl. 27,5 '!D38</f>
        <v>0.95599999999999996</v>
      </c>
      <c r="E38" s="134"/>
      <c r="F38" s="95">
        <f t="shared" si="0"/>
        <v>1.4594799999999999</v>
      </c>
      <c r="G38" s="94"/>
      <c r="H38" s="95">
        <f t="shared" si="1"/>
        <v>1.3988800000000001</v>
      </c>
      <c r="I38" s="1"/>
      <c r="J38" s="137">
        <f>+'Tabel 2021 52 weken incl. 27,5 '!J38</f>
        <v>0.95699999999999996</v>
      </c>
      <c r="K38" s="135"/>
      <c r="L38" s="97">
        <f t="shared" si="2"/>
        <v>1.4513099999999999</v>
      </c>
      <c r="M38" s="96"/>
      <c r="N38" s="97">
        <f t="shared" si="3"/>
        <v>1.3918600000000001</v>
      </c>
    </row>
    <row r="39" spans="1:24" ht="15" x14ac:dyDescent="0.2">
      <c r="A39" s="191">
        <f>+'Tabel 2021 52 weken incl. 27,5 '!A39</f>
        <v>27062</v>
      </c>
      <c r="B39" s="191">
        <f>+'Tabel 2021 52 weken incl. 27,5 '!B39</f>
        <v>28412</v>
      </c>
      <c r="C39" s="1"/>
      <c r="D39" s="136">
        <f>+'Tabel 2021 52 weken incl. 27,5 '!D39</f>
        <v>0.94499999999999995</v>
      </c>
      <c r="E39" s="134"/>
      <c r="F39" s="95">
        <f t="shared" si="0"/>
        <v>1.54935</v>
      </c>
      <c r="G39" s="94"/>
      <c r="H39" s="95">
        <f t="shared" si="1"/>
        <v>1.4761000000000002</v>
      </c>
      <c r="I39" s="1"/>
      <c r="J39" s="137">
        <f>+'Tabel 2021 52 weken incl. 27,5 '!J39</f>
        <v>0.95499999999999996</v>
      </c>
      <c r="K39" s="135"/>
      <c r="L39" s="97">
        <f t="shared" si="2"/>
        <v>1.4676499999999999</v>
      </c>
      <c r="M39" s="96"/>
      <c r="N39" s="97">
        <f t="shared" si="3"/>
        <v>1.4059000000000001</v>
      </c>
    </row>
    <row r="40" spans="1:24" ht="15" x14ac:dyDescent="0.2">
      <c r="A40" s="191">
        <f>+'Tabel 2021 52 weken incl. 27,5 '!A40</f>
        <v>28413</v>
      </c>
      <c r="B40" s="191">
        <f>+'Tabel 2021 52 weken incl. 27,5 '!B40</f>
        <v>29760</v>
      </c>
      <c r="C40" s="1"/>
      <c r="D40" s="136">
        <f>+'Tabel 2021 52 weken incl. 27,5 '!D40</f>
        <v>0.93500000000000005</v>
      </c>
      <c r="E40" s="134"/>
      <c r="F40" s="95">
        <f t="shared" si="0"/>
        <v>1.6310499999999992</v>
      </c>
      <c r="G40" s="94"/>
      <c r="H40" s="95">
        <f t="shared" si="1"/>
        <v>1.5462999999999996</v>
      </c>
      <c r="I40" s="1"/>
      <c r="J40" s="137">
        <f>+'Tabel 2021 52 weken incl. 27,5 '!J40</f>
        <v>0.95299999999999996</v>
      </c>
      <c r="K40" s="135"/>
      <c r="L40" s="97">
        <f t="shared" si="2"/>
        <v>1.4839899999999999</v>
      </c>
      <c r="M40" s="96"/>
      <c r="N40" s="97">
        <f t="shared" si="3"/>
        <v>1.4199400000000002</v>
      </c>
    </row>
    <row r="41" spans="1:24" ht="15" x14ac:dyDescent="0.2">
      <c r="A41" s="191">
        <f>+'Tabel 2021 52 weken incl. 27,5 '!A41</f>
        <v>29761</v>
      </c>
      <c r="B41" s="191">
        <f>+'Tabel 2021 52 weken incl. 27,5 '!B41</f>
        <v>31214</v>
      </c>
      <c r="C41" s="1"/>
      <c r="D41" s="136">
        <f>+'Tabel 2021 52 weken incl. 27,5 '!D41</f>
        <v>0.92600000000000005</v>
      </c>
      <c r="E41" s="134"/>
      <c r="F41" s="95">
        <f t="shared" si="0"/>
        <v>1.7045799999999993</v>
      </c>
      <c r="G41" s="94"/>
      <c r="H41" s="95">
        <f t="shared" si="1"/>
        <v>1.6094799999999996</v>
      </c>
      <c r="I41" s="1"/>
      <c r="J41" s="137">
        <f>+'Tabel 2021 52 weken incl. 27,5 '!J41</f>
        <v>0.95099999999999996</v>
      </c>
      <c r="K41" s="135"/>
      <c r="L41" s="97">
        <f t="shared" si="2"/>
        <v>1.5003299999999999</v>
      </c>
      <c r="M41" s="96"/>
      <c r="N41" s="97">
        <f t="shared" si="3"/>
        <v>1.43398</v>
      </c>
    </row>
    <row r="42" spans="1:24" ht="15" x14ac:dyDescent="0.2">
      <c r="A42" s="191">
        <f>+'Tabel 2021 52 weken incl. 27,5 '!A42</f>
        <v>31215</v>
      </c>
      <c r="B42" s="191">
        <f>+'Tabel 2021 52 weken incl. 27,5 '!B42</f>
        <v>32666</v>
      </c>
      <c r="C42" s="1"/>
      <c r="D42" s="136">
        <f>+'Tabel 2021 52 weken incl. 27,5 '!D42</f>
        <v>0.92</v>
      </c>
      <c r="E42" s="134"/>
      <c r="F42" s="95">
        <f t="shared" si="0"/>
        <v>1.7535999999999992</v>
      </c>
      <c r="G42" s="94"/>
      <c r="H42" s="95">
        <f t="shared" si="1"/>
        <v>1.6515999999999995</v>
      </c>
      <c r="I42" s="1"/>
      <c r="J42" s="137">
        <f>+'Tabel 2021 52 weken incl. 27,5 '!J42</f>
        <v>0.95</v>
      </c>
      <c r="K42" s="135"/>
      <c r="L42" s="97">
        <f t="shared" si="2"/>
        <v>1.5085</v>
      </c>
      <c r="M42" s="96"/>
      <c r="N42" s="97">
        <f t="shared" si="3"/>
        <v>1.4410000000000003</v>
      </c>
    </row>
    <row r="43" spans="1:24" ht="15" x14ac:dyDescent="0.2">
      <c r="A43" s="191">
        <f>+'Tabel 2021 52 weken incl. 27,5 '!A43</f>
        <v>32668</v>
      </c>
      <c r="B43" s="191">
        <f>+'Tabel 2021 52 weken incl. 27,5 '!B43</f>
        <v>34122</v>
      </c>
      <c r="C43" s="1"/>
      <c r="D43" s="136">
        <f>+'Tabel 2021 52 weken incl. 27,5 '!D43</f>
        <v>0.91</v>
      </c>
      <c r="E43" s="134"/>
      <c r="F43" s="95">
        <f t="shared" si="0"/>
        <v>1.8352999999999993</v>
      </c>
      <c r="G43" s="94"/>
      <c r="H43" s="95">
        <f t="shared" si="1"/>
        <v>1.7217999999999996</v>
      </c>
      <c r="I43" s="1"/>
      <c r="J43" s="137">
        <f>+'Tabel 2021 52 weken incl. 27,5 '!J43</f>
        <v>0.94799999999999995</v>
      </c>
      <c r="K43" s="135"/>
      <c r="L43" s="97">
        <f t="shared" si="2"/>
        <v>1.52484</v>
      </c>
      <c r="M43" s="96"/>
      <c r="N43" s="97">
        <f t="shared" si="3"/>
        <v>1.4550400000000001</v>
      </c>
    </row>
    <row r="44" spans="1:24" ht="15" x14ac:dyDescent="0.2">
      <c r="A44" s="191">
        <f>+'Tabel 2021 52 weken incl. 27,5 '!A44</f>
        <v>34123</v>
      </c>
      <c r="B44" s="191">
        <f>+'Tabel 2021 52 weken incl. 27,5 '!B44</f>
        <v>35574</v>
      </c>
      <c r="C44" s="1"/>
      <c r="D44" s="136">
        <f>+'Tabel 2021 52 weken incl. 27,5 '!D44</f>
        <v>0.90500000000000003</v>
      </c>
      <c r="E44" s="134"/>
      <c r="F44" s="95">
        <f t="shared" si="0"/>
        <v>1.8761499999999995</v>
      </c>
      <c r="G44" s="94"/>
      <c r="H44" s="95">
        <f t="shared" si="1"/>
        <v>1.7568999999999997</v>
      </c>
      <c r="I44" s="1"/>
      <c r="J44" s="137">
        <f>+'Tabel 2021 52 weken incl. 27,5 '!J44</f>
        <v>0.94599999999999995</v>
      </c>
      <c r="K44" s="135"/>
      <c r="L44" s="97">
        <f t="shared" si="2"/>
        <v>1.54118</v>
      </c>
      <c r="M44" s="96"/>
      <c r="N44" s="97">
        <f t="shared" si="3"/>
        <v>1.4690800000000002</v>
      </c>
    </row>
    <row r="45" spans="1:24" ht="15" x14ac:dyDescent="0.2">
      <c r="A45" s="191">
        <f>+'Tabel 2021 52 weken incl. 27,5 '!A45</f>
        <v>35575</v>
      </c>
      <c r="B45" s="191">
        <f>+'Tabel 2021 52 weken incl. 27,5 '!B45</f>
        <v>37031</v>
      </c>
      <c r="C45" s="1"/>
      <c r="D45" s="136">
        <f>+'Tabel 2021 52 weken incl. 27,5 '!D45</f>
        <v>0.89700000000000002</v>
      </c>
      <c r="E45" s="134"/>
      <c r="F45" s="95">
        <f t="shared" si="0"/>
        <v>1.9415099999999996</v>
      </c>
      <c r="G45" s="94"/>
      <c r="H45" s="95">
        <f t="shared" si="1"/>
        <v>1.8130599999999997</v>
      </c>
      <c r="I45" s="1"/>
      <c r="J45" s="137">
        <f>+'Tabel 2021 52 weken incl. 27,5 '!J45</f>
        <v>0.94599999999999995</v>
      </c>
      <c r="K45" s="135"/>
      <c r="L45" s="97">
        <f t="shared" si="2"/>
        <v>1.54118</v>
      </c>
      <c r="M45" s="96"/>
      <c r="N45" s="97">
        <f t="shared" si="3"/>
        <v>1.4690800000000002</v>
      </c>
      <c r="R45" t="s">
        <v>220</v>
      </c>
      <c r="S45" t="s">
        <v>220</v>
      </c>
      <c r="T45" t="s">
        <v>220</v>
      </c>
      <c r="U45" t="s">
        <v>221</v>
      </c>
      <c r="V45" t="s">
        <v>82</v>
      </c>
    </row>
    <row r="46" spans="1:24" ht="15" x14ac:dyDescent="0.2">
      <c r="A46" s="191">
        <f>+'Tabel 2021 52 weken incl. 27,5 '!A46</f>
        <v>37032</v>
      </c>
      <c r="B46" s="191">
        <f>+'Tabel 2021 52 weken incl. 27,5 '!B46</f>
        <v>38484</v>
      </c>
      <c r="C46" s="1"/>
      <c r="D46" s="136">
        <f>+'Tabel 2021 52 weken incl. 27,5 '!D46</f>
        <v>0.88900000000000001</v>
      </c>
      <c r="E46" s="134"/>
      <c r="F46" s="95">
        <f t="shared" si="0"/>
        <v>2.0068699999999993</v>
      </c>
      <c r="G46" s="94"/>
      <c r="H46" s="95">
        <f t="shared" si="1"/>
        <v>1.8692199999999999</v>
      </c>
      <c r="I46" s="1"/>
      <c r="J46" s="137">
        <f>+'Tabel 2021 52 weken incl. 27,5 '!J46</f>
        <v>0.94599999999999995</v>
      </c>
      <c r="K46" s="135"/>
      <c r="L46" s="97">
        <f t="shared" si="2"/>
        <v>1.54118</v>
      </c>
      <c r="M46" s="96"/>
      <c r="N46" s="97">
        <f t="shared" si="3"/>
        <v>1.4690800000000002</v>
      </c>
      <c r="Q46">
        <f>26</f>
        <v>26</v>
      </c>
      <c r="R46">
        <f>Q46*3*2</f>
        <v>156</v>
      </c>
      <c r="S46">
        <f>4*7.5*2</f>
        <v>60</v>
      </c>
      <c r="T46">
        <f>R46+S46</f>
        <v>216</v>
      </c>
      <c r="U46">
        <f>T46*6.28</f>
        <v>1356.48</v>
      </c>
      <c r="V46" s="99">
        <f>T46*5.93*(100%-D46)+((6.28-5.93)*T46)</f>
        <v>217.77768000000009</v>
      </c>
      <c r="W46" s="259">
        <v>0.5</v>
      </c>
      <c r="X46" t="s">
        <v>222</v>
      </c>
    </row>
    <row r="47" spans="1:24" ht="15" x14ac:dyDescent="0.2">
      <c r="A47" s="191">
        <f>+'Tabel 2021 52 weken incl. 27,5 '!A47</f>
        <v>38485</v>
      </c>
      <c r="B47" s="191">
        <f>+'Tabel 2021 52 weken incl. 27,5 '!B47</f>
        <v>39972</v>
      </c>
      <c r="C47" s="1"/>
      <c r="D47" s="136">
        <f>+'Tabel 2021 52 weken incl. 27,5 '!D47</f>
        <v>0.88300000000000001</v>
      </c>
      <c r="E47" s="134"/>
      <c r="F47" s="95">
        <f t="shared" si="0"/>
        <v>2.0558899999999998</v>
      </c>
      <c r="G47" s="94"/>
      <c r="H47" s="95">
        <f t="shared" si="1"/>
        <v>1.9113399999999996</v>
      </c>
      <c r="I47" s="1"/>
      <c r="J47" s="137">
        <f>+'Tabel 2021 52 weken incl. 27,5 '!J47</f>
        <v>0.94599999999999995</v>
      </c>
      <c r="K47" s="135"/>
      <c r="L47" s="97">
        <f t="shared" si="2"/>
        <v>1.54118</v>
      </c>
      <c r="M47" s="96"/>
      <c r="N47" s="97">
        <f t="shared" si="3"/>
        <v>1.4690800000000002</v>
      </c>
      <c r="V47" s="99">
        <f>T46*5.93*(100%-D46)+((W47-5.93)*T46)</f>
        <v>325.77768000000009</v>
      </c>
      <c r="W47">
        <f>6.28+W46</f>
        <v>6.78</v>
      </c>
    </row>
    <row r="48" spans="1:24" ht="15" x14ac:dyDescent="0.2">
      <c r="A48" s="191">
        <f>+'Tabel 2021 52 weken incl. 27,5 '!A48</f>
        <v>39973</v>
      </c>
      <c r="B48" s="191">
        <f>+'Tabel 2021 52 weken incl. 27,5 '!B48</f>
        <v>41463</v>
      </c>
      <c r="C48" s="1"/>
      <c r="D48" s="136">
        <f>+'Tabel 2021 52 weken incl. 27,5 '!D48</f>
        <v>0.875</v>
      </c>
      <c r="E48" s="134"/>
      <c r="F48" s="95">
        <f t="shared" si="0"/>
        <v>2.1212499999999999</v>
      </c>
      <c r="G48" s="94"/>
      <c r="H48" s="95">
        <f t="shared" si="1"/>
        <v>1.9674999999999998</v>
      </c>
      <c r="I48" s="1"/>
      <c r="J48" s="137">
        <f>+'Tabel 2021 52 weken incl. 27,5 '!J48</f>
        <v>0.94599999999999995</v>
      </c>
      <c r="K48" s="135"/>
      <c r="L48" s="97">
        <f t="shared" si="2"/>
        <v>1.54118</v>
      </c>
      <c r="M48" s="96"/>
      <c r="N48" s="97">
        <f t="shared" si="3"/>
        <v>1.4690800000000002</v>
      </c>
      <c r="T48">
        <f>1350/5/2*2</f>
        <v>270</v>
      </c>
      <c r="U48">
        <f>T48*6.28</f>
        <v>1695.6000000000001</v>
      </c>
      <c r="V48" s="99">
        <f>T48*5.93*(100%-D46)+((6.28-5.93)*T48)</f>
        <v>272.22210000000013</v>
      </c>
    </row>
    <row r="49" spans="1:16" ht="15" x14ac:dyDescent="0.2">
      <c r="A49" s="191">
        <f>+'Tabel 2021 52 weken incl. 27,5 '!A49</f>
        <v>41464</v>
      </c>
      <c r="B49" s="191">
        <f>+'Tabel 2021 52 weken incl. 27,5 '!B49</f>
        <v>42953</v>
      </c>
      <c r="C49" s="1"/>
      <c r="D49" s="136">
        <f>+'Tabel 2021 52 weken incl. 27,5 '!D49</f>
        <v>0.86799999999999999</v>
      </c>
      <c r="E49" s="134"/>
      <c r="F49" s="95">
        <f t="shared" si="0"/>
        <v>2.1784399999999997</v>
      </c>
      <c r="G49" s="94"/>
      <c r="H49" s="95">
        <f t="shared" si="1"/>
        <v>2.0166399999999998</v>
      </c>
      <c r="I49" s="1"/>
      <c r="J49" s="137">
        <f>+'Tabel 2021 52 weken incl. 27,5 '!J49</f>
        <v>0.94599999999999995</v>
      </c>
      <c r="K49" s="135"/>
      <c r="L49" s="97">
        <f t="shared" si="2"/>
        <v>1.54118</v>
      </c>
      <c r="M49" s="96"/>
      <c r="N49" s="97">
        <f t="shared" si="3"/>
        <v>1.4690800000000002</v>
      </c>
    </row>
    <row r="50" spans="1:16" ht="15" x14ac:dyDescent="0.2">
      <c r="A50" s="191">
        <f>+'Tabel 2021 52 weken incl. 27,5 '!A50</f>
        <v>42954</v>
      </c>
      <c r="B50" s="191">
        <f>+'Tabel 2021 52 weken incl. 27,5 '!B50</f>
        <v>44443</v>
      </c>
      <c r="C50" s="1"/>
      <c r="D50" s="136">
        <f>+'Tabel 2021 52 weken incl. 27,5 '!D50</f>
        <v>0.86099999999999999</v>
      </c>
      <c r="E50" s="134"/>
      <c r="F50" s="95">
        <f t="shared" si="0"/>
        <v>2.2356299999999996</v>
      </c>
      <c r="G50" s="94"/>
      <c r="H50" s="95">
        <f t="shared" si="1"/>
        <v>2.0657799999999997</v>
      </c>
      <c r="I50" s="1"/>
      <c r="J50" s="137">
        <f>+'Tabel 2021 52 weken incl. 27,5 '!J50</f>
        <v>0.94599999999999995</v>
      </c>
      <c r="K50" s="135"/>
      <c r="L50" s="97">
        <f t="shared" si="2"/>
        <v>1.54118</v>
      </c>
      <c r="M50" s="96"/>
      <c r="N50" s="97">
        <f t="shared" si="3"/>
        <v>1.4690800000000002</v>
      </c>
    </row>
    <row r="51" spans="1:16" ht="15" x14ac:dyDescent="0.2">
      <c r="A51" s="191">
        <f>+'Tabel 2021 52 weken incl. 27,5 '!A51</f>
        <v>44444</v>
      </c>
      <c r="B51" s="191">
        <f>+'Tabel 2021 52 weken incl. 27,5 '!B51</f>
        <v>45936</v>
      </c>
      <c r="C51" s="1"/>
      <c r="D51" s="136">
        <f>+'Tabel 2021 52 weken incl. 27,5 '!D51</f>
        <v>0.85199999999999998</v>
      </c>
      <c r="E51" s="134"/>
      <c r="F51" s="95">
        <f t="shared" si="0"/>
        <v>2.3091599999999999</v>
      </c>
      <c r="G51" s="94"/>
      <c r="H51" s="95">
        <f t="shared" si="1"/>
        <v>2.1289600000000002</v>
      </c>
      <c r="I51" s="1"/>
      <c r="J51" s="137">
        <f>+'Tabel 2021 52 weken incl. 27,5 '!J51</f>
        <v>0.94599999999999995</v>
      </c>
      <c r="K51" s="135"/>
      <c r="L51" s="97">
        <f t="shared" si="2"/>
        <v>1.54118</v>
      </c>
      <c r="M51" s="96"/>
      <c r="N51" s="97">
        <f t="shared" si="3"/>
        <v>1.4690800000000002</v>
      </c>
    </row>
    <row r="52" spans="1:16" ht="15" x14ac:dyDescent="0.2">
      <c r="A52" s="191">
        <f>+'Tabel 2021 52 weken incl. 27,5 '!A52</f>
        <v>45937</v>
      </c>
      <c r="B52" s="191">
        <f>+'Tabel 2021 52 weken incl. 27,5 '!B52</f>
        <v>47427</v>
      </c>
      <c r="C52" s="1"/>
      <c r="D52" s="136">
        <f>+'Tabel 2021 52 weken incl. 27,5 '!D52</f>
        <v>0.84699999999999998</v>
      </c>
      <c r="E52" s="134"/>
      <c r="F52" s="95">
        <f t="shared" si="0"/>
        <v>2.3500100000000002</v>
      </c>
      <c r="G52" s="94"/>
      <c r="H52" s="95">
        <f t="shared" si="1"/>
        <v>2.1640600000000001</v>
      </c>
      <c r="I52" s="1"/>
      <c r="J52" s="137">
        <f>+'Tabel 2021 52 weken incl. 27,5 '!J52</f>
        <v>0.94599999999999995</v>
      </c>
      <c r="K52" s="135"/>
      <c r="L52" s="97">
        <f t="shared" si="2"/>
        <v>1.54118</v>
      </c>
      <c r="M52" s="96"/>
      <c r="N52" s="97">
        <f t="shared" si="3"/>
        <v>1.4690800000000002</v>
      </c>
    </row>
    <row r="53" spans="1:16" ht="15" x14ac:dyDescent="0.2">
      <c r="A53" s="191">
        <f>+'Tabel 2021 52 weken incl. 27,5 '!A53</f>
        <v>47428</v>
      </c>
      <c r="B53" s="191">
        <f>+'Tabel 2021 52 weken incl. 27,5 '!B53</f>
        <v>48916</v>
      </c>
      <c r="C53" s="1"/>
      <c r="D53" s="136">
        <f>+'Tabel 2021 52 weken incl. 27,5 '!D53</f>
        <v>0.83899999999999997</v>
      </c>
      <c r="E53" s="134"/>
      <c r="F53" s="95">
        <f t="shared" si="0"/>
        <v>2.4153699999999998</v>
      </c>
      <c r="G53" s="94"/>
      <c r="H53" s="95">
        <f t="shared" si="1"/>
        <v>2.2202200000000003</v>
      </c>
      <c r="I53" s="1"/>
      <c r="J53" s="137">
        <f>+'Tabel 2021 52 weken incl. 27,5 '!J53</f>
        <v>0.94599999999999995</v>
      </c>
      <c r="K53" s="135"/>
      <c r="L53" s="97">
        <f t="shared" si="2"/>
        <v>1.54118</v>
      </c>
      <c r="M53" s="96"/>
      <c r="N53" s="97">
        <f t="shared" si="3"/>
        <v>1.4690800000000002</v>
      </c>
    </row>
    <row r="54" spans="1:16" ht="15" x14ac:dyDescent="0.2">
      <c r="A54" s="191">
        <f>+'Tabel 2021 52 weken incl. 27,5 '!A54</f>
        <v>48917</v>
      </c>
      <c r="B54" s="191">
        <f>+'Tabel 2021 52 weken incl. 27,5 '!B54</f>
        <v>50407</v>
      </c>
      <c r="C54" s="1"/>
      <c r="D54" s="136">
        <f>+'Tabel 2021 52 weken incl. 27,5 '!D54</f>
        <v>0.83299999999999996</v>
      </c>
      <c r="E54" s="134"/>
      <c r="F54" s="95">
        <f t="shared" si="0"/>
        <v>2.4643899999999999</v>
      </c>
      <c r="G54" s="94"/>
      <c r="H54" s="95">
        <f t="shared" si="1"/>
        <v>2.26234</v>
      </c>
      <c r="I54" s="1"/>
      <c r="J54" s="137">
        <f>+'Tabel 2021 52 weken incl. 27,5 '!J54</f>
        <v>0.94599999999999995</v>
      </c>
      <c r="K54" s="135"/>
      <c r="L54" s="97">
        <f t="shared" si="2"/>
        <v>1.54118</v>
      </c>
      <c r="M54" s="96"/>
      <c r="N54" s="97">
        <f t="shared" si="3"/>
        <v>1.4690800000000002</v>
      </c>
    </row>
    <row r="55" spans="1:16" ht="15" x14ac:dyDescent="0.2">
      <c r="A55" s="191">
        <f>+'Tabel 2021 52 weken incl. 27,5 '!A55</f>
        <v>50408</v>
      </c>
      <c r="B55" s="191">
        <f>+'Tabel 2021 52 weken incl. 27,5 '!B55</f>
        <v>52036</v>
      </c>
      <c r="C55" s="1"/>
      <c r="D55" s="136">
        <f>+'Tabel 2021 52 weken incl. 27,5 '!D55</f>
        <v>0.82399999999999995</v>
      </c>
      <c r="E55" s="134"/>
      <c r="F55" s="95">
        <f t="shared" si="0"/>
        <v>2.5379199999999997</v>
      </c>
      <c r="G55" s="94"/>
      <c r="H55" s="95">
        <f t="shared" si="1"/>
        <v>2.32552</v>
      </c>
      <c r="I55" s="1"/>
      <c r="J55" s="137">
        <f>+'Tabel 2021 52 weken incl. 27,5 '!J55</f>
        <v>0.94599999999999995</v>
      </c>
      <c r="K55" s="135"/>
      <c r="L55" s="97">
        <f t="shared" si="2"/>
        <v>1.54118</v>
      </c>
      <c r="M55" s="96"/>
      <c r="N55" s="97">
        <f t="shared" si="3"/>
        <v>1.4690800000000002</v>
      </c>
    </row>
    <row r="56" spans="1:16" ht="15" x14ac:dyDescent="0.2">
      <c r="A56" s="191">
        <f>+'Tabel 2021 52 weken incl. 27,5 '!A56</f>
        <v>52037</v>
      </c>
      <c r="B56" s="191">
        <f>+'Tabel 2021 52 weken incl. 27,5 '!B56</f>
        <v>55230</v>
      </c>
      <c r="C56" s="1"/>
      <c r="D56" s="136">
        <f>+'Tabel 2021 52 weken incl. 27,5 '!D56</f>
        <v>0.80900000000000005</v>
      </c>
      <c r="E56" s="134"/>
      <c r="F56" s="95">
        <f t="shared" si="0"/>
        <v>2.6604699999999992</v>
      </c>
      <c r="G56" s="94"/>
      <c r="H56" s="95">
        <f t="shared" si="1"/>
        <v>2.4308199999999993</v>
      </c>
      <c r="I56" s="1"/>
      <c r="J56" s="137">
        <f>+'Tabel 2021 52 weken incl. 27,5 '!J56</f>
        <v>0.94599999999999995</v>
      </c>
      <c r="K56" s="135"/>
      <c r="L56" s="97">
        <f t="shared" si="2"/>
        <v>1.54118</v>
      </c>
      <c r="M56" s="96"/>
      <c r="N56" s="97">
        <f t="shared" si="3"/>
        <v>1.4690800000000002</v>
      </c>
    </row>
    <row r="57" spans="1:16" ht="15" x14ac:dyDescent="0.2">
      <c r="A57" s="191">
        <f>+'Tabel 2021 52 weken incl. 27,5 '!A57</f>
        <v>55231</v>
      </c>
      <c r="B57" s="191">
        <f>+'Tabel 2021 52 weken incl. 27,5 '!B57</f>
        <v>58423</v>
      </c>
      <c r="C57" s="1"/>
      <c r="D57" s="136">
        <f>+'Tabel 2021 52 weken incl. 27,5 '!D57</f>
        <v>0.80100000000000005</v>
      </c>
      <c r="E57" s="134"/>
      <c r="F57" s="95">
        <f t="shared" si="0"/>
        <v>2.7258299999999993</v>
      </c>
      <c r="G57" s="94"/>
      <c r="H57" s="95">
        <f t="shared" si="1"/>
        <v>2.4869799999999995</v>
      </c>
      <c r="I57" s="1"/>
      <c r="J57" s="137">
        <f>+'Tabel 2021 52 weken incl. 27,5 '!J57</f>
        <v>0.94199999999999995</v>
      </c>
      <c r="K57" s="135"/>
      <c r="L57" s="97">
        <f t="shared" si="2"/>
        <v>1.57386</v>
      </c>
      <c r="M57" s="96"/>
      <c r="N57" s="97">
        <f t="shared" si="3"/>
        <v>1.4971600000000003</v>
      </c>
    </row>
    <row r="58" spans="1:16" ht="15" x14ac:dyDescent="0.2">
      <c r="A58" s="191">
        <f>+'Tabel 2021 52 weken incl. 27,5 '!A58</f>
        <v>58424</v>
      </c>
      <c r="B58" s="191">
        <f>+'Tabel 2021 52 weken incl. 27,5 '!B58</f>
        <v>61618</v>
      </c>
      <c r="C58" s="1"/>
      <c r="D58" s="136">
        <f>+'Tabel 2021 52 weken incl. 27,5 '!D58</f>
        <v>0.79</v>
      </c>
      <c r="E58" s="134"/>
      <c r="F58" s="95">
        <f t="shared" si="0"/>
        <v>2.8156999999999996</v>
      </c>
      <c r="G58" s="94"/>
      <c r="H58" s="95">
        <f t="shared" si="1"/>
        <v>2.5641999999999996</v>
      </c>
      <c r="I58" s="1"/>
      <c r="J58" s="137">
        <f>+'Tabel 2021 52 weken incl. 27,5 '!J58</f>
        <v>0.93600000000000005</v>
      </c>
      <c r="K58" s="135"/>
      <c r="L58" s="97">
        <f t="shared" si="2"/>
        <v>1.6228799999999992</v>
      </c>
      <c r="M58" s="96"/>
      <c r="N58" s="97">
        <f t="shared" si="3"/>
        <v>1.5392799999999993</v>
      </c>
    </row>
    <row r="59" spans="1:16" ht="15" x14ac:dyDescent="0.2">
      <c r="A59" s="191">
        <f>+'Tabel 2021 52 weken incl. 27,5 '!A59</f>
        <v>61619</v>
      </c>
      <c r="B59" s="191">
        <f>+'Tabel 2021 52 weken incl. 27,5 '!B59</f>
        <v>64813</v>
      </c>
      <c r="C59" s="1"/>
      <c r="D59" s="136">
        <f>+'Tabel 2021 52 weken incl. 27,5 '!D59</f>
        <v>0.76800000000000002</v>
      </c>
      <c r="E59" s="134"/>
      <c r="F59" s="95">
        <f t="shared" si="0"/>
        <v>2.9954399999999994</v>
      </c>
      <c r="G59" s="94"/>
      <c r="H59" s="95">
        <f t="shared" si="1"/>
        <v>2.7186399999999997</v>
      </c>
      <c r="I59" s="1"/>
      <c r="J59" s="137">
        <f>+'Tabel 2021 52 weken incl. 27,5 '!J59</f>
        <v>0.93200000000000005</v>
      </c>
      <c r="K59" s="135"/>
      <c r="L59" s="97">
        <f t="shared" si="2"/>
        <v>1.6555599999999993</v>
      </c>
      <c r="M59" s="96"/>
      <c r="N59" s="97">
        <f t="shared" si="3"/>
        <v>1.5673599999999994</v>
      </c>
    </row>
    <row r="60" spans="1:16" ht="15" x14ac:dyDescent="0.2">
      <c r="A60" s="191">
        <f>+'Tabel 2021 52 weken incl. 27,5 '!A60</f>
        <v>64814</v>
      </c>
      <c r="B60" s="191">
        <f>+'Tabel 2021 52 weken incl. 27,5 '!B60</f>
        <v>68006</v>
      </c>
      <c r="C60" s="1"/>
      <c r="D60" s="136">
        <f>+'Tabel 2021 52 weken incl. 27,5 '!D60</f>
        <v>0.745</v>
      </c>
      <c r="E60" s="134"/>
      <c r="F60" s="95">
        <f t="shared" si="0"/>
        <v>3.1833499999999995</v>
      </c>
      <c r="G60" s="94"/>
      <c r="H60" s="95">
        <f t="shared" si="1"/>
        <v>2.8800999999999997</v>
      </c>
      <c r="I60" s="1"/>
      <c r="J60" s="137">
        <f>+'Tabel 2021 52 weken incl. 27,5 '!J60</f>
        <v>0.92900000000000005</v>
      </c>
      <c r="K60" s="135"/>
      <c r="L60" s="97">
        <f t="shared" si="2"/>
        <v>1.6800699999999993</v>
      </c>
      <c r="M60" s="96"/>
      <c r="N60" s="97">
        <f t="shared" si="3"/>
        <v>1.5884199999999995</v>
      </c>
    </row>
    <row r="61" spans="1:16" ht="15" x14ac:dyDescent="0.2">
      <c r="A61" s="191">
        <f>+'Tabel 2021 52 weken incl. 27,5 '!A61</f>
        <v>68007</v>
      </c>
      <c r="B61" s="191">
        <f>+'Tabel 2021 52 weken incl. 27,5 '!B61</f>
        <v>71202</v>
      </c>
      <c r="C61" s="1"/>
      <c r="D61" s="136">
        <f>+'Tabel 2021 52 weken incl. 27,5 '!D61</f>
        <v>0.72299999999999998</v>
      </c>
      <c r="E61" s="134"/>
      <c r="F61" s="95">
        <f t="shared" si="0"/>
        <v>3.3630899999999997</v>
      </c>
      <c r="G61" s="94"/>
      <c r="H61" s="95">
        <f t="shared" si="1"/>
        <v>3.0345399999999998</v>
      </c>
      <c r="I61" s="1"/>
      <c r="J61" s="137">
        <f>+'Tabel 2021 52 weken incl. 27,5 '!J61</f>
        <v>0.92200000000000004</v>
      </c>
      <c r="K61" s="135"/>
      <c r="L61" s="97">
        <f t="shared" si="2"/>
        <v>1.7372599999999991</v>
      </c>
      <c r="M61" s="96"/>
      <c r="N61" s="97">
        <f t="shared" si="3"/>
        <v>1.6375599999999997</v>
      </c>
    </row>
    <row r="62" spans="1:16" ht="15" x14ac:dyDescent="0.2">
      <c r="A62" s="191">
        <f>+'Tabel 2021 52 weken incl. 27,5 '!A62</f>
        <v>71203</v>
      </c>
      <c r="B62" s="191">
        <f>+'Tabel 2021 52 weken incl. 27,5 '!B62</f>
        <v>74396</v>
      </c>
      <c r="C62" s="1"/>
      <c r="D62" s="136">
        <f>+'Tabel 2021 52 weken incl. 27,5 '!D62</f>
        <v>0.69899999999999995</v>
      </c>
      <c r="E62" s="134"/>
      <c r="F62" s="95">
        <f t="shared" si="0"/>
        <v>3.5591699999999999</v>
      </c>
      <c r="G62" s="94"/>
      <c r="H62" s="95">
        <f t="shared" si="1"/>
        <v>3.20302</v>
      </c>
      <c r="I62" s="1"/>
      <c r="J62" s="137">
        <f>+'Tabel 2021 52 weken incl. 27,5 '!J62</f>
        <v>0.91700000000000004</v>
      </c>
      <c r="K62" s="135"/>
      <c r="L62" s="97">
        <f t="shared" si="2"/>
        <v>1.7781099999999994</v>
      </c>
      <c r="M62" s="96"/>
      <c r="N62" s="97">
        <f t="shared" si="3"/>
        <v>1.6726599999999996</v>
      </c>
    </row>
    <row r="63" spans="1:16" ht="15" x14ac:dyDescent="0.2">
      <c r="A63" s="191">
        <f>+'Tabel 2021 52 weken incl. 27,5 '!A63</f>
        <v>74397</v>
      </c>
      <c r="B63" s="191">
        <f>+'Tabel 2021 52 weken incl. 27,5 '!B63</f>
        <v>77590</v>
      </c>
      <c r="C63" s="1"/>
      <c r="D63" s="136">
        <f>+'Tabel 2021 52 weken incl. 27,5 '!D63</f>
        <v>0.67600000000000005</v>
      </c>
      <c r="E63" s="134"/>
      <c r="F63" s="95">
        <f t="shared" si="0"/>
        <v>3.7470799999999991</v>
      </c>
      <c r="G63" s="94"/>
      <c r="H63" s="95">
        <f t="shared" si="1"/>
        <v>3.3644799999999995</v>
      </c>
      <c r="I63" s="1"/>
      <c r="J63" s="137">
        <f>+'Tabel 2021 52 weken incl. 27,5 '!J63</f>
        <v>0.91200000000000003</v>
      </c>
      <c r="K63" s="135"/>
      <c r="L63" s="97">
        <f t="shared" si="2"/>
        <v>1.8189599999999992</v>
      </c>
      <c r="M63" s="96"/>
      <c r="N63" s="97">
        <f t="shared" si="3"/>
        <v>1.7077599999999995</v>
      </c>
      <c r="P63" s="98"/>
    </row>
    <row r="64" spans="1:16" ht="15" x14ac:dyDescent="0.2">
      <c r="A64" s="191">
        <f>+'Tabel 2021 52 weken incl. 27,5 '!A64</f>
        <v>77591</v>
      </c>
      <c r="B64" s="191">
        <f>+'Tabel 2021 52 weken incl. 27,5 '!B64</f>
        <v>80786</v>
      </c>
      <c r="C64" s="1"/>
      <c r="D64" s="136">
        <f>+'Tabel 2021 52 weken incl. 27,5 '!D64</f>
        <v>0.65400000000000003</v>
      </c>
      <c r="E64" s="134"/>
      <c r="F64" s="95">
        <f t="shared" si="0"/>
        <v>3.9268199999999993</v>
      </c>
      <c r="G64" s="94"/>
      <c r="H64" s="95">
        <f t="shared" si="1"/>
        <v>3.5189199999999996</v>
      </c>
      <c r="I64" s="1"/>
      <c r="J64" s="137">
        <f>+'Tabel 2021 52 weken incl. 27,5 '!J64</f>
        <v>0.90500000000000003</v>
      </c>
      <c r="K64" s="135"/>
      <c r="L64" s="97">
        <f t="shared" si="2"/>
        <v>1.8761499999999995</v>
      </c>
      <c r="M64" s="96"/>
      <c r="N64" s="97">
        <f t="shared" si="3"/>
        <v>1.7568999999999997</v>
      </c>
    </row>
    <row r="65" spans="1:16" ht="15" x14ac:dyDescent="0.2">
      <c r="A65" s="191">
        <f>+'Tabel 2021 52 weken incl. 27,5 '!A65</f>
        <v>80787</v>
      </c>
      <c r="B65" s="191">
        <f>+'Tabel 2021 52 weken incl. 27,5 '!B65</f>
        <v>83979</v>
      </c>
      <c r="C65" s="1"/>
      <c r="D65" s="136">
        <f>+'Tabel 2021 52 weken incl. 27,5 '!D65</f>
        <v>0.63100000000000001</v>
      </c>
      <c r="E65" s="134"/>
      <c r="F65" s="95">
        <f t="shared" si="0"/>
        <v>4.1147299999999998</v>
      </c>
      <c r="G65" s="94"/>
      <c r="H65" s="95">
        <f t="shared" si="1"/>
        <v>3.6803799999999995</v>
      </c>
      <c r="I65" s="1"/>
      <c r="J65" s="137">
        <f>+'Tabel 2021 52 weken incl. 27,5 '!J65</f>
        <v>0.9</v>
      </c>
      <c r="K65" s="135"/>
      <c r="L65" s="97">
        <f t="shared" si="2"/>
        <v>1.9169999999999994</v>
      </c>
      <c r="M65" s="96"/>
      <c r="N65" s="97">
        <f t="shared" si="3"/>
        <v>1.7919999999999998</v>
      </c>
    </row>
    <row r="66" spans="1:16" ht="15" x14ac:dyDescent="0.2">
      <c r="A66" s="191">
        <f>+'Tabel 2021 52 weken incl. 27,5 '!A66</f>
        <v>83980</v>
      </c>
      <c r="B66" s="191">
        <f>+'Tabel 2021 52 weken incl. 27,5 '!B66</f>
        <v>87176</v>
      </c>
      <c r="C66" s="1"/>
      <c r="D66" s="136">
        <f>+'Tabel 2021 52 weken incl. 27,5 '!D66</f>
        <v>0.60899999999999999</v>
      </c>
      <c r="E66" s="134"/>
      <c r="F66" s="95">
        <f t="shared" si="0"/>
        <v>4.2944699999999996</v>
      </c>
      <c r="G66" s="94"/>
      <c r="H66" s="95">
        <f t="shared" si="1"/>
        <v>3.8348199999999997</v>
      </c>
      <c r="I66" s="1"/>
      <c r="J66" s="137">
        <f>+'Tabel 2021 52 weken incl. 27,5 '!J66</f>
        <v>0.89600000000000002</v>
      </c>
      <c r="K66" s="135"/>
      <c r="L66" s="97">
        <f t="shared" si="2"/>
        <v>1.9496799999999994</v>
      </c>
      <c r="M66" s="96"/>
      <c r="N66" s="97">
        <f t="shared" si="3"/>
        <v>1.8200799999999997</v>
      </c>
    </row>
    <row r="67" spans="1:16" ht="15" x14ac:dyDescent="0.2">
      <c r="A67" s="191">
        <f>+'Tabel 2021 52 weken incl. 27,5 '!A67</f>
        <v>87177</v>
      </c>
      <c r="B67" s="191">
        <f>+'Tabel 2021 52 weken incl. 27,5 '!B67</f>
        <v>90370</v>
      </c>
      <c r="C67" s="1"/>
      <c r="D67" s="136">
        <f>+'Tabel 2021 52 weken incl. 27,5 '!D67</f>
        <v>0.58399999999999996</v>
      </c>
      <c r="E67" s="134"/>
      <c r="F67" s="95">
        <f t="shared" si="0"/>
        <v>4.4987200000000005</v>
      </c>
      <c r="G67" s="94"/>
      <c r="H67" s="95">
        <f t="shared" si="1"/>
        <v>4.0103200000000001</v>
      </c>
      <c r="I67" s="1"/>
      <c r="J67" s="137">
        <f>+'Tabel 2021 52 weken incl. 27,5 '!J67</f>
        <v>0.89300000000000002</v>
      </c>
      <c r="K67" s="135"/>
      <c r="L67" s="97">
        <f t="shared" si="2"/>
        <v>1.9741899999999997</v>
      </c>
      <c r="M67" s="96"/>
      <c r="N67" s="97">
        <f t="shared" si="3"/>
        <v>1.8411399999999998</v>
      </c>
    </row>
    <row r="68" spans="1:16" ht="15" x14ac:dyDescent="0.2">
      <c r="A68" s="191">
        <f>+'Tabel 2021 52 weken incl. 27,5 '!A68</f>
        <v>90371</v>
      </c>
      <c r="B68" s="191">
        <f>+'Tabel 2021 52 weken incl. 27,5 '!B68</f>
        <v>93562</v>
      </c>
      <c r="C68" s="1"/>
      <c r="D68" s="136">
        <f>+'Tabel 2021 52 weken incl. 27,5 '!D68</f>
        <v>0.56200000000000006</v>
      </c>
      <c r="E68" s="134"/>
      <c r="F68" s="95">
        <f t="shared" si="0"/>
        <v>4.6784599999999994</v>
      </c>
      <c r="G68" s="94"/>
      <c r="H68" s="95">
        <f t="shared" si="1"/>
        <v>4.1647599999999994</v>
      </c>
      <c r="I68" s="1"/>
      <c r="J68" s="137">
        <f>+'Tabel 2021 52 weken incl. 27,5 '!J68</f>
        <v>0.88600000000000001</v>
      </c>
      <c r="K68" s="135"/>
      <c r="L68" s="97">
        <f t="shared" si="2"/>
        <v>2.0313799999999995</v>
      </c>
      <c r="M68" s="96"/>
      <c r="N68" s="97">
        <f t="shared" si="3"/>
        <v>1.8902799999999997</v>
      </c>
    </row>
    <row r="69" spans="1:16" ht="15" x14ac:dyDescent="0.2">
      <c r="A69" s="191">
        <f>+'Tabel 2021 52 weken incl. 27,5 '!A69</f>
        <v>93563</v>
      </c>
      <c r="B69" s="191">
        <f>+'Tabel 2021 52 weken incl. 27,5 '!B69</f>
        <v>96757</v>
      </c>
      <c r="C69" s="1"/>
      <c r="D69" s="136">
        <f>+'Tabel 2021 52 weken incl. 27,5 '!D69</f>
        <v>0.54</v>
      </c>
      <c r="E69" s="134"/>
      <c r="F69" s="95">
        <f t="shared" si="0"/>
        <v>4.8581999999999992</v>
      </c>
      <c r="G69" s="94"/>
      <c r="H69" s="95">
        <f t="shared" si="1"/>
        <v>4.3191999999999995</v>
      </c>
      <c r="I69" s="1"/>
      <c r="J69" s="137">
        <f>+'Tabel 2021 52 weken incl. 27,5 '!J69</f>
        <v>0.88200000000000001</v>
      </c>
      <c r="K69" s="135"/>
      <c r="L69" s="97">
        <f t="shared" si="2"/>
        <v>2.0640599999999996</v>
      </c>
      <c r="M69" s="96"/>
      <c r="N69" s="97">
        <f t="shared" si="3"/>
        <v>1.9183599999999998</v>
      </c>
    </row>
    <row r="70" spans="1:16" ht="15" x14ac:dyDescent="0.2">
      <c r="A70" s="191">
        <f>+'Tabel 2021 52 weken incl. 27,5 '!A70</f>
        <v>96758</v>
      </c>
      <c r="B70" s="191">
        <f>+'Tabel 2021 52 weken incl. 27,5 '!B70</f>
        <v>100015</v>
      </c>
      <c r="C70" s="1"/>
      <c r="D70" s="136">
        <f>+'Tabel 2021 52 weken incl. 27,5 '!D70</f>
        <v>0.51600000000000001</v>
      </c>
      <c r="E70" s="134"/>
      <c r="F70" s="95">
        <f t="shared" si="0"/>
        <v>5.0542799999999994</v>
      </c>
      <c r="G70" s="94"/>
      <c r="H70" s="95">
        <f t="shared" si="1"/>
        <v>4.4876799999999992</v>
      </c>
      <c r="I70" s="1"/>
      <c r="J70" s="137">
        <f>+'Tabel 2021 52 weken incl. 27,5 '!J70</f>
        <v>0.877</v>
      </c>
      <c r="K70" s="135"/>
      <c r="L70" s="97">
        <f t="shared" si="2"/>
        <v>2.1049099999999994</v>
      </c>
      <c r="M70" s="96"/>
      <c r="N70" s="97">
        <f t="shared" si="3"/>
        <v>1.9534599999999998</v>
      </c>
    </row>
    <row r="71" spans="1:16" ht="15" x14ac:dyDescent="0.2">
      <c r="A71" s="191">
        <f>+'Tabel 2021 52 weken incl. 27,5 '!A71</f>
        <v>100016</v>
      </c>
      <c r="B71" s="191">
        <f>+'Tabel 2021 52 weken incl. 27,5 '!B71</f>
        <v>103287</v>
      </c>
      <c r="C71" s="1"/>
      <c r="D71" s="136">
        <f>+'Tabel 2021 52 weken incl. 27,5 '!D71</f>
        <v>0.496</v>
      </c>
      <c r="E71" s="134"/>
      <c r="F71" s="95">
        <f t="shared" si="0"/>
        <v>5.2176799999999997</v>
      </c>
      <c r="G71" s="94"/>
      <c r="H71" s="95">
        <f t="shared" si="1"/>
        <v>4.6280799999999997</v>
      </c>
      <c r="I71" s="1"/>
      <c r="J71" s="137">
        <f>+'Tabel 2021 52 weken incl. 27,5 '!J71</f>
        <v>0.87</v>
      </c>
      <c r="K71" s="135"/>
      <c r="L71" s="97">
        <f t="shared" si="2"/>
        <v>2.1620999999999997</v>
      </c>
      <c r="M71" s="96"/>
      <c r="N71" s="97">
        <f t="shared" si="3"/>
        <v>2.0025999999999997</v>
      </c>
    </row>
    <row r="72" spans="1:16" ht="15" x14ac:dyDescent="0.2">
      <c r="A72" s="191">
        <f>+'Tabel 2021 52 weken incl. 27,5 '!A72</f>
        <v>103288</v>
      </c>
      <c r="B72" s="191">
        <f>+'Tabel 2021 52 weken incl. 27,5 '!B72</f>
        <v>106558</v>
      </c>
      <c r="C72" s="1"/>
      <c r="D72" s="136">
        <f>+'Tabel 2021 52 weken incl. 27,5 '!D72</f>
        <v>0.47499999999999998</v>
      </c>
      <c r="E72" s="134"/>
      <c r="F72" s="95">
        <f t="shared" si="0"/>
        <v>5.3892499999999997</v>
      </c>
      <c r="G72" s="94"/>
      <c r="H72" s="95">
        <f t="shared" si="1"/>
        <v>4.7754999999999992</v>
      </c>
      <c r="I72" s="1"/>
      <c r="J72" s="137">
        <f>+'Tabel 2021 52 weken incl. 27,5 '!J72</f>
        <v>0.86499999999999999</v>
      </c>
      <c r="K72" s="135"/>
      <c r="L72" s="97">
        <f t="shared" si="2"/>
        <v>2.2029499999999995</v>
      </c>
      <c r="M72" s="96"/>
      <c r="N72" s="97">
        <f t="shared" si="3"/>
        <v>2.0377000000000001</v>
      </c>
    </row>
    <row r="73" spans="1:16" ht="15" x14ac:dyDescent="0.2">
      <c r="A73" s="191">
        <f>+'Tabel 2021 52 weken incl. 27,5 '!A73</f>
        <v>106559</v>
      </c>
      <c r="B73" s="191">
        <f>+'Tabel 2021 52 weken incl. 27,5 '!B73</f>
        <v>109829</v>
      </c>
      <c r="C73" s="1"/>
      <c r="D73" s="136">
        <f>+'Tabel 2021 52 weken incl. 27,5 '!D73</f>
        <v>0.45400000000000001</v>
      </c>
      <c r="E73" s="134"/>
      <c r="F73" s="95">
        <f t="shared" si="0"/>
        <v>5.5608199999999997</v>
      </c>
      <c r="G73" s="94"/>
      <c r="H73" s="95">
        <f t="shared" si="1"/>
        <v>4.9229199999999995</v>
      </c>
      <c r="I73" s="1"/>
      <c r="J73" s="137">
        <f>+'Tabel 2021 52 weken incl. 27,5 '!J73</f>
        <v>0.86099999999999999</v>
      </c>
      <c r="K73" s="135"/>
      <c r="L73" s="97">
        <f t="shared" si="2"/>
        <v>2.2356299999999996</v>
      </c>
      <c r="M73" s="96"/>
      <c r="N73" s="97">
        <f t="shared" si="3"/>
        <v>2.0657799999999997</v>
      </c>
    </row>
    <row r="74" spans="1:16" ht="15" x14ac:dyDescent="0.2">
      <c r="A74" s="191">
        <f>+'Tabel 2021 52 weken incl. 27,5 '!A74</f>
        <v>109830</v>
      </c>
      <c r="B74" s="191">
        <f>+'Tabel 2021 52 weken incl. 27,5 '!B74</f>
        <v>113099</v>
      </c>
      <c r="C74" s="1"/>
      <c r="D74" s="136">
        <f>+'Tabel 2021 52 weken incl. 27,5 '!D74</f>
        <v>0.433</v>
      </c>
      <c r="E74" s="134"/>
      <c r="F74" s="95">
        <f t="shared" si="0"/>
        <v>5.7323899999999988</v>
      </c>
      <c r="G74" s="94"/>
      <c r="H74" s="95">
        <f t="shared" si="1"/>
        <v>5.0703399999999998</v>
      </c>
      <c r="I74" s="1"/>
      <c r="J74" s="137">
        <f>+'Tabel 2021 52 weken incl. 27,5 '!J74</f>
        <v>0.85799999999999998</v>
      </c>
      <c r="K74" s="135"/>
      <c r="L74" s="97">
        <f t="shared" si="2"/>
        <v>2.2601399999999998</v>
      </c>
      <c r="M74" s="96"/>
      <c r="N74" s="97">
        <f t="shared" si="3"/>
        <v>2.08684</v>
      </c>
    </row>
    <row r="75" spans="1:16" ht="15" x14ac:dyDescent="0.2">
      <c r="A75" s="191">
        <f>+'Tabel 2021 52 weken incl. 27,5 '!A75</f>
        <v>113100</v>
      </c>
      <c r="B75" s="191">
        <f>+'Tabel 2021 52 weken incl. 27,5 '!B75</f>
        <v>116371</v>
      </c>
      <c r="C75" s="1"/>
      <c r="D75" s="136">
        <f>+'Tabel 2021 52 weken incl. 27,5 '!D75</f>
        <v>0.41399999999999998</v>
      </c>
      <c r="E75" s="134"/>
      <c r="F75" s="95">
        <f t="shared" si="0"/>
        <v>5.8876200000000001</v>
      </c>
      <c r="G75" s="94"/>
      <c r="H75" s="95">
        <f t="shared" si="1"/>
        <v>5.2037200000000006</v>
      </c>
      <c r="I75" s="1"/>
      <c r="J75" s="137">
        <f>+'Tabel 2021 52 weken incl. 27,5 '!J75</f>
        <v>0.85099999999999998</v>
      </c>
      <c r="K75" s="135"/>
      <c r="L75" s="97">
        <f t="shared" si="2"/>
        <v>2.3173300000000001</v>
      </c>
      <c r="M75" s="96"/>
      <c r="N75" s="97">
        <f t="shared" si="3"/>
        <v>2.13598</v>
      </c>
    </row>
    <row r="76" spans="1:16" ht="15" x14ac:dyDescent="0.2">
      <c r="A76" s="191">
        <f>+'Tabel 2021 52 weken incl. 27,5 '!A76</f>
        <v>116372</v>
      </c>
      <c r="B76" s="191">
        <f>+'Tabel 2021 52 weken incl. 27,5 '!B76</f>
        <v>119644</v>
      </c>
      <c r="C76" s="1"/>
      <c r="D76" s="136">
        <f>+'Tabel 2021 52 weken incl. 27,5 '!D76</f>
        <v>0.39500000000000002</v>
      </c>
      <c r="E76" s="134"/>
      <c r="F76" s="95">
        <f t="shared" si="0"/>
        <v>6.0428499999999996</v>
      </c>
      <c r="G76" s="94"/>
      <c r="H76" s="95">
        <f t="shared" si="1"/>
        <v>5.3370999999999995</v>
      </c>
      <c r="I76" s="1"/>
      <c r="J76" s="137">
        <f>+'Tabel 2021 52 weken incl. 27,5 '!J76</f>
        <v>0.84499999999999997</v>
      </c>
      <c r="K76" s="135"/>
      <c r="L76" s="97">
        <f t="shared" si="2"/>
        <v>2.3663499999999997</v>
      </c>
      <c r="M76" s="96"/>
      <c r="N76" s="97">
        <f t="shared" si="3"/>
        <v>2.1780999999999997</v>
      </c>
    </row>
    <row r="77" spans="1:16" ht="15" x14ac:dyDescent="0.2">
      <c r="A77" s="191">
        <f>+'Tabel 2021 52 weken incl. 27,5 '!A77</f>
        <v>119645</v>
      </c>
      <c r="B77" s="191">
        <f>+'Tabel 2021 52 weken incl. 27,5 '!B77</f>
        <v>122916</v>
      </c>
      <c r="C77" s="1"/>
      <c r="D77" s="136">
        <f>+'Tabel 2021 52 weken incl. 27,5 '!D77</f>
        <v>0.376</v>
      </c>
      <c r="E77" s="134"/>
      <c r="F77" s="95">
        <f t="shared" si="0"/>
        <v>6.19808</v>
      </c>
      <c r="G77" s="94"/>
      <c r="H77" s="95">
        <f t="shared" si="1"/>
        <v>5.4704799999999993</v>
      </c>
      <c r="I77" s="1"/>
      <c r="J77" s="137">
        <f>+'Tabel 2021 52 weken incl. 27,5 '!J77</f>
        <v>0.84099999999999997</v>
      </c>
      <c r="K77" s="135"/>
      <c r="L77" s="97">
        <f t="shared" si="2"/>
        <v>2.3990299999999998</v>
      </c>
      <c r="M77" s="96"/>
      <c r="N77" s="97">
        <f t="shared" si="3"/>
        <v>2.2061799999999998</v>
      </c>
    </row>
    <row r="78" spans="1:16" ht="15" x14ac:dyDescent="0.2">
      <c r="A78" s="191">
        <f>+'Tabel 2021 52 weken incl. 27,5 '!A78</f>
        <v>122917</v>
      </c>
      <c r="B78" s="191">
        <f>+'Tabel 2021 52 weken incl. 27,5 '!B78</f>
        <v>126184</v>
      </c>
      <c r="C78" s="1"/>
      <c r="D78" s="136">
        <f>+'Tabel 2021 52 weken incl. 27,5 '!D78</f>
        <v>0.35699999999999998</v>
      </c>
      <c r="E78" s="134"/>
      <c r="F78" s="95">
        <f t="shared" si="0"/>
        <v>6.3533099999999996</v>
      </c>
      <c r="G78" s="94"/>
      <c r="H78" s="95">
        <f t="shared" si="1"/>
        <v>5.6038600000000001</v>
      </c>
      <c r="I78" s="1"/>
      <c r="J78" s="137">
        <f>+'Tabel 2021 52 weken incl. 27,5 '!J78</f>
        <v>0.83499999999999996</v>
      </c>
      <c r="K78" s="135"/>
      <c r="L78" s="97">
        <f t="shared" si="2"/>
        <v>2.4480499999999998</v>
      </c>
      <c r="M78" s="96"/>
      <c r="N78" s="97">
        <f t="shared" si="3"/>
        <v>2.2483</v>
      </c>
      <c r="O78" s="100"/>
      <c r="P78" s="101"/>
    </row>
    <row r="79" spans="1:16" ht="15" x14ac:dyDescent="0.2">
      <c r="A79" s="191">
        <f>+'Tabel 2021 52 weken incl. 27,5 '!A79</f>
        <v>126185</v>
      </c>
      <c r="B79" s="191">
        <f>+'Tabel 2021 52 weken incl. 27,5 '!B79</f>
        <v>129456</v>
      </c>
      <c r="C79" s="1"/>
      <c r="D79" s="136">
        <f>+'Tabel 2021 52 weken incl. 27,5 '!D79</f>
        <v>0.34100000000000003</v>
      </c>
      <c r="E79" s="134"/>
      <c r="F79" s="95">
        <f t="shared" si="0"/>
        <v>6.4840299999999997</v>
      </c>
      <c r="G79" s="94"/>
      <c r="H79" s="95">
        <f t="shared" si="1"/>
        <v>5.7161799999999996</v>
      </c>
      <c r="I79" s="1"/>
      <c r="J79" s="137">
        <f>+'Tabel 2021 52 weken incl. 27,5 '!J79</f>
        <v>0.83199999999999996</v>
      </c>
      <c r="K79" s="135"/>
      <c r="L79" s="97">
        <f t="shared" si="2"/>
        <v>2.4725599999999996</v>
      </c>
      <c r="M79" s="96"/>
      <c r="N79" s="97">
        <f t="shared" si="3"/>
        <v>2.2693599999999998</v>
      </c>
    </row>
    <row r="80" spans="1:16" ht="15" x14ac:dyDescent="0.2">
      <c r="A80" s="191">
        <f>+'Tabel 2021 52 weken incl. 27,5 '!A80</f>
        <v>129457</v>
      </c>
      <c r="B80" s="191">
        <f>+'Tabel 2021 52 weken incl. 27,5 '!B80</f>
        <v>132729</v>
      </c>
      <c r="C80" s="1"/>
      <c r="D80" s="136">
        <f>+'Tabel 2021 52 weken incl. 27,5 '!D80</f>
        <v>0.33300000000000002</v>
      </c>
      <c r="E80" s="134"/>
      <c r="F80" s="95">
        <f t="shared" si="0"/>
        <v>6.5493899999999998</v>
      </c>
      <c r="G80" s="94"/>
      <c r="H80" s="95">
        <f t="shared" si="1"/>
        <v>5.7723399999999998</v>
      </c>
      <c r="I80" s="1"/>
      <c r="J80" s="137">
        <f>+'Tabel 2021 52 weken incl. 27,5 '!J80</f>
        <v>0.82499999999999996</v>
      </c>
      <c r="K80" s="135"/>
      <c r="L80" s="97">
        <f t="shared" si="2"/>
        <v>2.5297499999999999</v>
      </c>
      <c r="M80" s="96"/>
      <c r="N80" s="97">
        <f t="shared" si="3"/>
        <v>2.3185000000000002</v>
      </c>
    </row>
    <row r="81" spans="1:14" ht="15" x14ac:dyDescent="0.2">
      <c r="A81" s="191">
        <f>+'Tabel 2021 52 weken incl. 27,5 '!A81</f>
        <v>132730</v>
      </c>
      <c r="B81" s="191">
        <f>+'Tabel 2021 52 weken incl. 27,5 '!B81</f>
        <v>135999</v>
      </c>
      <c r="C81" s="1"/>
      <c r="D81" s="136">
        <f>+'Tabel 2021 52 weken incl. 27,5 '!D81</f>
        <v>0.33300000000000002</v>
      </c>
      <c r="E81" s="134"/>
      <c r="F81" s="95">
        <f t="shared" si="0"/>
        <v>6.5493899999999998</v>
      </c>
      <c r="G81" s="94"/>
      <c r="H81" s="95">
        <f t="shared" si="1"/>
        <v>5.7723399999999998</v>
      </c>
      <c r="I81" s="1"/>
      <c r="J81" s="137">
        <f>+'Tabel 2021 52 weken incl. 27,5 '!J81</f>
        <v>0.81899999999999995</v>
      </c>
      <c r="K81" s="135"/>
      <c r="L81" s="97">
        <f t="shared" si="2"/>
        <v>2.57877</v>
      </c>
      <c r="M81" s="96"/>
      <c r="N81" s="97">
        <f t="shared" si="3"/>
        <v>2.3606199999999999</v>
      </c>
    </row>
    <row r="82" spans="1:14" ht="15" x14ac:dyDescent="0.2">
      <c r="A82" s="191">
        <f>+'Tabel 2021 52 weken incl. 27,5 '!A82</f>
        <v>136000</v>
      </c>
      <c r="B82" s="191">
        <f>+'Tabel 2021 52 weken incl. 27,5 '!B82</f>
        <v>139270</v>
      </c>
      <c r="C82" s="1"/>
      <c r="D82" s="136">
        <f>+'Tabel 2021 52 weken incl. 27,5 '!D82</f>
        <v>0.33300000000000002</v>
      </c>
      <c r="E82" s="134"/>
      <c r="F82" s="95">
        <f t="shared" si="0"/>
        <v>6.5493899999999998</v>
      </c>
      <c r="G82" s="94"/>
      <c r="H82" s="95">
        <f t="shared" si="1"/>
        <v>5.7723399999999998</v>
      </c>
      <c r="I82" s="1"/>
      <c r="J82" s="137">
        <f>+'Tabel 2021 52 weken incl. 27,5 '!J82</f>
        <v>0.80900000000000005</v>
      </c>
      <c r="K82" s="135"/>
      <c r="L82" s="97">
        <f t="shared" si="2"/>
        <v>2.6604699999999992</v>
      </c>
      <c r="M82" s="96"/>
      <c r="N82" s="97">
        <f t="shared" si="3"/>
        <v>2.4308199999999993</v>
      </c>
    </row>
    <row r="83" spans="1:14" ht="15" x14ac:dyDescent="0.2">
      <c r="A83" s="191">
        <f>+'Tabel 2021 52 weken incl. 27,5 '!A83</f>
        <v>139271</v>
      </c>
      <c r="B83" s="191">
        <f>+'Tabel 2021 52 weken incl. 27,5 '!B83</f>
        <v>142541</v>
      </c>
      <c r="C83" s="1"/>
      <c r="D83" s="136">
        <f>+'Tabel 2021 52 weken incl. 27,5 '!D83</f>
        <v>0.33300000000000002</v>
      </c>
      <c r="E83" s="134"/>
      <c r="F83" s="95">
        <f t="shared" si="0"/>
        <v>6.5493899999999998</v>
      </c>
      <c r="G83" s="94"/>
      <c r="H83" s="95">
        <f t="shared" si="1"/>
        <v>5.7723399999999998</v>
      </c>
      <c r="I83" s="1"/>
      <c r="J83" s="137">
        <f>+'Tabel 2021 52 weken incl. 27,5 '!J83</f>
        <v>0.80600000000000005</v>
      </c>
      <c r="K83" s="135"/>
      <c r="L83" s="97">
        <f t="shared" si="2"/>
        <v>2.6849799999999995</v>
      </c>
      <c r="M83" s="96"/>
      <c r="N83" s="97">
        <f t="shared" si="3"/>
        <v>2.4518799999999992</v>
      </c>
    </row>
    <row r="84" spans="1:14" ht="15" x14ac:dyDescent="0.2">
      <c r="A84" s="191">
        <f>+'Tabel 2021 52 weken incl. 27,5 '!A84</f>
        <v>142542</v>
      </c>
      <c r="B84" s="191">
        <f>+'Tabel 2021 52 weken incl. 27,5 '!B84</f>
        <v>145813</v>
      </c>
      <c r="C84" s="1"/>
      <c r="D84" s="136">
        <f>+'Tabel 2021 52 weken incl. 27,5 '!D84</f>
        <v>0.33300000000000002</v>
      </c>
      <c r="E84" s="134"/>
      <c r="F84" s="95">
        <f t="shared" si="0"/>
        <v>6.5493899999999998</v>
      </c>
      <c r="G84" s="94"/>
      <c r="H84" s="95">
        <f t="shared" si="1"/>
        <v>5.7723399999999998</v>
      </c>
      <c r="I84" s="1"/>
      <c r="J84" s="137">
        <f>+'Tabel 2021 52 weken incl. 27,5 '!J84</f>
        <v>0.79800000000000004</v>
      </c>
      <c r="K84" s="135"/>
      <c r="L84" s="97">
        <f t="shared" si="2"/>
        <v>2.7503399999999996</v>
      </c>
      <c r="M84" s="96"/>
      <c r="N84" s="97">
        <f t="shared" si="3"/>
        <v>2.5080399999999994</v>
      </c>
    </row>
    <row r="85" spans="1:14" ht="15" x14ac:dyDescent="0.2">
      <c r="A85" s="191">
        <f>+'Tabel 2021 52 weken incl. 27,5 '!A85</f>
        <v>145814</v>
      </c>
      <c r="B85" s="191">
        <f>+'Tabel 2021 52 weken incl. 27,5 '!B85</f>
        <v>149088</v>
      </c>
      <c r="C85" s="1"/>
      <c r="D85" s="136">
        <f>+'Tabel 2021 52 weken incl. 27,5 '!D85</f>
        <v>0.33300000000000002</v>
      </c>
      <c r="E85" s="134"/>
      <c r="F85" s="95">
        <f t="shared" si="0"/>
        <v>6.5493899999999998</v>
      </c>
      <c r="G85" s="94"/>
      <c r="H85" s="95">
        <f t="shared" si="1"/>
        <v>5.7723399999999998</v>
      </c>
      <c r="I85" s="1"/>
      <c r="J85" s="137">
        <f>+'Tabel 2021 52 weken incl. 27,5 '!J85</f>
        <v>0.78900000000000003</v>
      </c>
      <c r="K85" s="135"/>
      <c r="L85" s="97">
        <f t="shared" si="2"/>
        <v>2.8238699999999994</v>
      </c>
      <c r="M85" s="96"/>
      <c r="N85" s="97">
        <f t="shared" si="3"/>
        <v>2.5712199999999994</v>
      </c>
    </row>
    <row r="86" spans="1:14" ht="15" x14ac:dyDescent="0.2">
      <c r="A86" s="191">
        <f>+'Tabel 2021 52 weken incl. 27,5 '!A86</f>
        <v>149089</v>
      </c>
      <c r="B86" s="191">
        <f>+'Tabel 2021 52 weken incl. 27,5 '!B86</f>
        <v>152356</v>
      </c>
      <c r="C86" s="1"/>
      <c r="D86" s="136">
        <f>+'Tabel 2021 52 weken incl. 27,5 '!D86</f>
        <v>0.33300000000000002</v>
      </c>
      <c r="E86" s="134"/>
      <c r="F86" s="95">
        <f t="shared" si="0"/>
        <v>6.5493899999999998</v>
      </c>
      <c r="G86" s="94"/>
      <c r="H86" s="95">
        <f t="shared" si="1"/>
        <v>5.7723399999999998</v>
      </c>
      <c r="I86" s="1"/>
      <c r="J86" s="137">
        <f>+'Tabel 2021 52 weken incl. 27,5 '!J86</f>
        <v>0.78300000000000003</v>
      </c>
      <c r="K86" s="135"/>
      <c r="L86" s="97">
        <f t="shared" si="2"/>
        <v>2.8728899999999995</v>
      </c>
      <c r="M86" s="96"/>
      <c r="N86" s="97">
        <f t="shared" si="3"/>
        <v>2.6133399999999996</v>
      </c>
    </row>
    <row r="87" spans="1:14" ht="15" x14ac:dyDescent="0.2">
      <c r="A87" s="191">
        <f>+'Tabel 2021 52 weken incl. 27,5 '!A87</f>
        <v>152357</v>
      </c>
      <c r="B87" s="191">
        <f>+'Tabel 2021 52 weken incl. 27,5 '!B87</f>
        <v>155628</v>
      </c>
      <c r="C87" s="1"/>
      <c r="D87" s="136">
        <f>+'Tabel 2021 52 weken incl. 27,5 '!D87</f>
        <v>0.33300000000000002</v>
      </c>
      <c r="E87" s="134"/>
      <c r="F87" s="95">
        <f t="shared" si="0"/>
        <v>6.5493899999999998</v>
      </c>
      <c r="G87" s="94"/>
      <c r="H87" s="95">
        <f t="shared" si="1"/>
        <v>5.7723399999999998</v>
      </c>
      <c r="I87" s="1"/>
      <c r="J87" s="137">
        <f>+'Tabel 2021 52 weken incl. 27,5 '!J87</f>
        <v>0.77400000000000002</v>
      </c>
      <c r="K87" s="135"/>
      <c r="L87" s="97">
        <f t="shared" si="2"/>
        <v>2.9464199999999994</v>
      </c>
      <c r="M87" s="96"/>
      <c r="N87" s="97">
        <f t="shared" si="3"/>
        <v>2.6765199999999996</v>
      </c>
    </row>
    <row r="88" spans="1:14" ht="15" x14ac:dyDescent="0.2">
      <c r="A88" s="191">
        <f>+'Tabel 2021 52 weken incl. 27,5 '!A88</f>
        <v>155629</v>
      </c>
      <c r="B88" s="191">
        <f>+'Tabel 2021 52 weken incl. 27,5 '!B88</f>
        <v>158897</v>
      </c>
      <c r="C88" s="1"/>
      <c r="D88" s="136">
        <f>+'Tabel 2021 52 weken incl. 27,5 '!D88</f>
        <v>0.33300000000000002</v>
      </c>
      <c r="E88" s="134"/>
      <c r="F88" s="95">
        <f t="shared" si="0"/>
        <v>6.5493899999999998</v>
      </c>
      <c r="G88" s="94"/>
      <c r="H88" s="95">
        <f t="shared" si="1"/>
        <v>5.7723399999999998</v>
      </c>
      <c r="I88" s="1"/>
      <c r="J88" s="137">
        <f>+'Tabel 2021 52 weken incl. 27,5 '!J88</f>
        <v>0.76900000000000002</v>
      </c>
      <c r="K88" s="135"/>
      <c r="L88" s="97">
        <f t="shared" si="2"/>
        <v>2.9872699999999996</v>
      </c>
      <c r="M88" s="96"/>
      <c r="N88" s="97">
        <f t="shared" si="3"/>
        <v>2.7116199999999999</v>
      </c>
    </row>
    <row r="89" spans="1:14" ht="15" x14ac:dyDescent="0.2">
      <c r="A89" s="191">
        <f>+'Tabel 2021 52 weken incl. 27,5 '!A89</f>
        <v>158898</v>
      </c>
      <c r="B89" s="191">
        <f>+'Tabel 2021 52 weken incl. 27,5 '!B89</f>
        <v>162171</v>
      </c>
      <c r="C89" s="1"/>
      <c r="D89" s="136">
        <f>+'Tabel 2021 52 weken incl. 27,5 '!D89</f>
        <v>0.33300000000000002</v>
      </c>
      <c r="E89" s="134"/>
      <c r="F89" s="95">
        <f t="shared" si="0"/>
        <v>6.5493899999999998</v>
      </c>
      <c r="G89" s="94"/>
      <c r="H89" s="95">
        <f t="shared" si="1"/>
        <v>5.7723399999999998</v>
      </c>
      <c r="I89" s="1"/>
      <c r="J89" s="137">
        <f>+'Tabel 2021 52 weken incl. 27,5 '!J89</f>
        <v>0.76200000000000001</v>
      </c>
      <c r="K89" s="135"/>
      <c r="L89" s="97">
        <f t="shared" si="2"/>
        <v>3.0444599999999995</v>
      </c>
      <c r="M89" s="96"/>
      <c r="N89" s="97">
        <f t="shared" si="3"/>
        <v>2.7607599999999994</v>
      </c>
    </row>
    <row r="90" spans="1:14" ht="15" x14ac:dyDescent="0.2">
      <c r="A90" s="191">
        <f>+'Tabel 2021 52 weken incl. 27,5 '!A90</f>
        <v>162172</v>
      </c>
      <c r="B90" s="191">
        <f>+'Tabel 2021 52 weken incl. 27,5 '!B90</f>
        <v>165443</v>
      </c>
      <c r="C90" s="1"/>
      <c r="D90" s="136">
        <f>+'Tabel 2021 52 weken incl. 27,5 '!D90</f>
        <v>0.33300000000000002</v>
      </c>
      <c r="E90" s="134"/>
      <c r="F90" s="95">
        <f t="shared" si="0"/>
        <v>6.5493899999999998</v>
      </c>
      <c r="G90" s="94"/>
      <c r="H90" s="95">
        <f t="shared" si="1"/>
        <v>5.7723399999999998</v>
      </c>
      <c r="I90" s="1"/>
      <c r="J90" s="137">
        <f>+'Tabel 2021 52 weken incl. 27,5 '!J90</f>
        <v>0.755</v>
      </c>
      <c r="K90" s="135"/>
      <c r="L90" s="97">
        <f t="shared" si="2"/>
        <v>3.1016499999999998</v>
      </c>
      <c r="M90" s="96"/>
      <c r="N90" s="97">
        <f t="shared" si="3"/>
        <v>2.8098999999999998</v>
      </c>
    </row>
    <row r="91" spans="1:14" ht="15" x14ac:dyDescent="0.2">
      <c r="A91" s="191">
        <f>+'Tabel 2021 52 weken incl. 27,5 '!A91</f>
        <v>165444</v>
      </c>
      <c r="B91" s="191">
        <f>+'Tabel 2021 52 weken incl. 27,5 '!B91</f>
        <v>168714</v>
      </c>
      <c r="C91" s="1"/>
      <c r="D91" s="136">
        <f>+'Tabel 2021 52 weken incl. 27,5 '!D91</f>
        <v>0.33300000000000002</v>
      </c>
      <c r="E91" s="134"/>
      <c r="F91" s="95">
        <f t="shared" si="0"/>
        <v>6.5493899999999998</v>
      </c>
      <c r="G91" s="94"/>
      <c r="H91" s="95">
        <f t="shared" si="1"/>
        <v>5.7723399999999998</v>
      </c>
      <c r="I91" s="1"/>
      <c r="J91" s="137">
        <f>+'Tabel 2021 52 weken incl. 27,5 '!J91</f>
        <v>0.748</v>
      </c>
      <c r="K91" s="135"/>
      <c r="L91" s="97">
        <f t="shared" si="2"/>
        <v>3.1588399999999996</v>
      </c>
      <c r="M91" s="96"/>
      <c r="N91" s="97">
        <f t="shared" si="3"/>
        <v>2.8590399999999998</v>
      </c>
    </row>
    <row r="92" spans="1:14" ht="15" x14ac:dyDescent="0.2">
      <c r="A92" s="191">
        <f>+'Tabel 2021 52 weken incl. 27,5 '!A92</f>
        <v>168715</v>
      </c>
      <c r="B92" s="191">
        <f>+'Tabel 2021 52 weken incl. 27,5 '!B92</f>
        <v>171985</v>
      </c>
      <c r="C92" s="1"/>
      <c r="D92" s="136">
        <f>+'Tabel 2021 52 weken incl. 27,5 '!D92</f>
        <v>0.33300000000000002</v>
      </c>
      <c r="E92" s="134"/>
      <c r="F92" s="95">
        <f t="shared" si="0"/>
        <v>6.5493899999999998</v>
      </c>
      <c r="G92" s="94"/>
      <c r="H92" s="95">
        <f t="shared" si="1"/>
        <v>5.7723399999999998</v>
      </c>
      <c r="I92" s="1"/>
      <c r="J92" s="137">
        <f>+'Tabel 2021 52 weken incl. 27,5 '!J92</f>
        <v>0.73799999999999999</v>
      </c>
      <c r="K92" s="135"/>
      <c r="L92" s="97">
        <f t="shared" si="2"/>
        <v>3.2405399999999998</v>
      </c>
      <c r="M92" s="96"/>
      <c r="N92" s="97">
        <f t="shared" si="3"/>
        <v>2.9292400000000001</v>
      </c>
    </row>
    <row r="93" spans="1:14" ht="15" x14ac:dyDescent="0.2">
      <c r="A93" s="191">
        <f>+'Tabel 2021 52 weken incl. 27,5 '!A93</f>
        <v>171986</v>
      </c>
      <c r="B93" s="191">
        <f>+'Tabel 2021 52 weken incl. 27,5 '!B93</f>
        <v>175253</v>
      </c>
      <c r="C93" s="1"/>
      <c r="D93" s="136">
        <f>+'Tabel 2021 52 weken incl. 27,5 '!D93</f>
        <v>0.33300000000000002</v>
      </c>
      <c r="E93" s="134"/>
      <c r="F93" s="95">
        <f t="shared" si="0"/>
        <v>6.5493899999999998</v>
      </c>
      <c r="G93" s="94"/>
      <c r="H93" s="95">
        <f t="shared" si="1"/>
        <v>5.7723399999999998</v>
      </c>
      <c r="I93" s="1"/>
      <c r="J93" s="137">
        <f>+'Tabel 2021 52 weken incl. 27,5 '!J93</f>
        <v>0.73299999999999998</v>
      </c>
      <c r="K93" s="135"/>
      <c r="L93" s="97">
        <f t="shared" si="2"/>
        <v>3.2813899999999996</v>
      </c>
      <c r="M93" s="96"/>
      <c r="N93" s="97">
        <f t="shared" si="3"/>
        <v>2.96434</v>
      </c>
    </row>
    <row r="94" spans="1:14" ht="15" x14ac:dyDescent="0.2">
      <c r="A94" s="191">
        <f>+'Tabel 2021 52 weken incl. 27,5 '!A94</f>
        <v>175254</v>
      </c>
      <c r="B94" s="191">
        <f>+'Tabel 2021 52 weken incl. 27,5 '!B94</f>
        <v>178527</v>
      </c>
      <c r="C94" s="1"/>
      <c r="D94" s="136">
        <f>+'Tabel 2021 52 weken incl. 27,5 '!D94</f>
        <v>0.33300000000000002</v>
      </c>
      <c r="E94" s="134"/>
      <c r="F94" s="95">
        <f t="shared" si="0"/>
        <v>6.5493899999999998</v>
      </c>
      <c r="G94" s="94"/>
      <c r="H94" s="95">
        <f t="shared" si="1"/>
        <v>5.7723399999999998</v>
      </c>
      <c r="I94" s="1"/>
      <c r="J94" s="137">
        <f>+'Tabel 2021 52 weken incl. 27,5 '!J94</f>
        <v>0.72599999999999998</v>
      </c>
      <c r="K94" s="135"/>
      <c r="L94" s="97">
        <f t="shared" si="2"/>
        <v>3.3385799999999999</v>
      </c>
      <c r="M94" s="96"/>
      <c r="N94" s="97">
        <f t="shared" si="3"/>
        <v>3.0134799999999999</v>
      </c>
    </row>
    <row r="95" spans="1:14" ht="15" x14ac:dyDescent="0.2">
      <c r="A95" s="191">
        <f>+'Tabel 2021 52 weken incl. 27,5 '!A95</f>
        <v>178528</v>
      </c>
      <c r="B95" s="191">
        <f>+'Tabel 2021 52 weken incl. 27,5 '!B95</f>
        <v>181797</v>
      </c>
      <c r="C95" s="1"/>
      <c r="D95" s="136">
        <f>+'Tabel 2021 52 weken incl. 27,5 '!D95</f>
        <v>0.33300000000000002</v>
      </c>
      <c r="E95" s="134"/>
      <c r="F95" s="95">
        <f t="shared" si="0"/>
        <v>6.5493899999999998</v>
      </c>
      <c r="G95" s="94"/>
      <c r="H95" s="95">
        <f t="shared" si="1"/>
        <v>5.7723399999999998</v>
      </c>
      <c r="I95" s="1"/>
      <c r="J95" s="137">
        <f>+'Tabel 2021 52 weken incl. 27,5 '!J95</f>
        <v>0.71799999999999997</v>
      </c>
      <c r="K95" s="135"/>
      <c r="L95" s="97">
        <f t="shared" si="2"/>
        <v>3.40394</v>
      </c>
      <c r="M95" s="96"/>
      <c r="N95" s="97">
        <f t="shared" si="3"/>
        <v>3.0696399999999997</v>
      </c>
    </row>
    <row r="96" spans="1:14" ht="15" x14ac:dyDescent="0.2">
      <c r="A96" s="191">
        <f>+'Tabel 2021 52 weken incl. 27,5 '!A96</f>
        <v>181798</v>
      </c>
      <c r="B96" s="191">
        <f>+'Tabel 2021 52 weken incl. 27,5 '!B96</f>
        <v>185070</v>
      </c>
      <c r="C96" s="1"/>
      <c r="D96" s="136">
        <f>+'Tabel 2021 52 weken incl. 27,5 '!D96</f>
        <v>0.33300000000000002</v>
      </c>
      <c r="E96" s="134"/>
      <c r="F96" s="95">
        <f t="shared" si="0"/>
        <v>6.5493899999999998</v>
      </c>
      <c r="G96" s="94"/>
      <c r="H96" s="95">
        <f t="shared" si="1"/>
        <v>5.7723399999999998</v>
      </c>
      <c r="I96" s="1"/>
      <c r="J96" s="137">
        <f>+'Tabel 2021 52 weken incl. 27,5 '!J96</f>
        <v>0.71099999999999997</v>
      </c>
      <c r="K96" s="135"/>
      <c r="L96" s="97">
        <f t="shared" si="2"/>
        <v>3.4611299999999998</v>
      </c>
      <c r="M96" s="96"/>
      <c r="N96" s="97">
        <f t="shared" si="3"/>
        <v>3.1187800000000001</v>
      </c>
    </row>
    <row r="97" spans="1:14" ht="15" x14ac:dyDescent="0.2">
      <c r="A97" s="191">
        <f>+'Tabel 2021 52 weken incl. 27,5 '!A97</f>
        <v>185071</v>
      </c>
      <c r="B97" s="191">
        <f>+'Tabel 2021 52 weken incl. 27,5 '!B97</f>
        <v>188342</v>
      </c>
      <c r="C97" s="1"/>
      <c r="D97" s="136">
        <f>+'Tabel 2021 52 weken incl. 27,5 '!D97</f>
        <v>0.33300000000000002</v>
      </c>
      <c r="E97" s="134"/>
      <c r="F97" s="95">
        <f t="shared" si="0"/>
        <v>6.5493899999999998</v>
      </c>
      <c r="G97" s="94"/>
      <c r="H97" s="95">
        <f t="shared" si="1"/>
        <v>5.7723399999999998</v>
      </c>
      <c r="I97" s="1"/>
      <c r="J97" s="137">
        <f>+'Tabel 2021 52 weken incl. 27,5 '!J97</f>
        <v>0.70499999999999996</v>
      </c>
      <c r="K97" s="135"/>
      <c r="L97" s="97">
        <f t="shared" si="2"/>
        <v>3.5101499999999999</v>
      </c>
      <c r="M97" s="96"/>
      <c r="N97" s="97">
        <f t="shared" si="3"/>
        <v>3.1608999999999998</v>
      </c>
    </row>
    <row r="98" spans="1:14" ht="15" x14ac:dyDescent="0.2">
      <c r="A98" s="191">
        <f>+'Tabel 2021 52 weken incl. 27,5 '!A98</f>
        <v>188343</v>
      </c>
      <c r="B98" s="191">
        <f>+'Tabel 2021 52 weken incl. 27,5 '!B98</f>
        <v>191612</v>
      </c>
      <c r="C98" s="1"/>
      <c r="D98" s="136">
        <f>+'Tabel 2021 52 weken incl. 27,5 '!D98</f>
        <v>0.33300000000000002</v>
      </c>
      <c r="E98" s="134"/>
      <c r="F98" s="95">
        <f t="shared" ref="F98:F101" si="4">IF($D$19&gt;=$F$28,($F$28*(100%-D98))+($F$19),$D$19*(100%-D98)+$F$19)</f>
        <v>6.5493899999999998</v>
      </c>
      <c r="G98" s="94"/>
      <c r="H98" s="95">
        <f t="shared" ref="H98:H101" si="5">IF($D$20&gt;=$H$28,($H$28*(100%-D98))+($F$20),$D$20*(100%-D98)+($F$20))</f>
        <v>5.7723399999999998</v>
      </c>
      <c r="I98" s="1"/>
      <c r="J98" s="137">
        <f>+'Tabel 2021 52 weken incl. 27,5 '!J98</f>
        <v>0.69799999999999995</v>
      </c>
      <c r="K98" s="135"/>
      <c r="L98" s="97">
        <f t="shared" ref="L98:L101" si="6">IF($D$19&gt;=$L$28,($L$28*(100%-J98))+(F$19),$D$19*(100%-J98)+$F$19)</f>
        <v>3.5673400000000002</v>
      </c>
      <c r="M98" s="96"/>
      <c r="N98" s="97">
        <f t="shared" ref="N98:N101" si="7">IF($D$20&gt;=$H$28,($H$28*(100%-J98))+($F$20),$D$20*(100%-J98)+($F$20))</f>
        <v>3.2100400000000002</v>
      </c>
    </row>
    <row r="99" spans="1:14" ht="15" x14ac:dyDescent="0.2">
      <c r="A99" s="191">
        <f>+'Tabel 2021 52 weken incl. 27,5 '!A99</f>
        <v>191613</v>
      </c>
      <c r="B99" s="191">
        <f>+'Tabel 2021 52 weken incl. 27,5 '!B99</f>
        <v>194884</v>
      </c>
      <c r="C99" s="1"/>
      <c r="D99" s="136">
        <f>+'Tabel 2021 52 weken incl. 27,5 '!D99</f>
        <v>0.33300000000000002</v>
      </c>
      <c r="E99" s="134"/>
      <c r="F99" s="95">
        <f t="shared" si="4"/>
        <v>6.5493899999999998</v>
      </c>
      <c r="G99" s="94"/>
      <c r="H99" s="95">
        <f t="shared" si="5"/>
        <v>5.7723399999999998</v>
      </c>
      <c r="I99" s="1"/>
      <c r="J99" s="137">
        <f>+'Tabel 2021 52 weken incl. 27,5 '!J99</f>
        <v>0.69</v>
      </c>
      <c r="K99" s="135"/>
      <c r="L99" s="97">
        <f t="shared" si="6"/>
        <v>3.6327000000000003</v>
      </c>
      <c r="M99" s="96"/>
      <c r="N99" s="97">
        <f t="shared" si="7"/>
        <v>3.2662</v>
      </c>
    </row>
    <row r="100" spans="1:14" ht="15" x14ac:dyDescent="0.2">
      <c r="A100" s="191">
        <f>+'Tabel 2021 52 weken incl. 27,5 '!A100</f>
        <v>194885</v>
      </c>
      <c r="B100" s="191">
        <f>+'Tabel 2021 52 weken incl. 27,5 '!B100</f>
        <v>198154</v>
      </c>
      <c r="C100" s="1"/>
      <c r="D100" s="136">
        <f>+'Tabel 2021 52 weken incl. 27,5 '!D100</f>
        <v>0.33300000000000002</v>
      </c>
      <c r="E100" s="134"/>
      <c r="F100" s="95">
        <f t="shared" si="4"/>
        <v>6.5493899999999998</v>
      </c>
      <c r="G100" s="94"/>
      <c r="H100" s="95">
        <f t="shared" si="5"/>
        <v>5.7723399999999998</v>
      </c>
      <c r="I100" s="1"/>
      <c r="J100" s="137">
        <f>+'Tabel 2021 52 weken incl. 27,5 '!J100</f>
        <v>0.68500000000000005</v>
      </c>
      <c r="K100" s="135"/>
      <c r="L100" s="97">
        <f t="shared" si="6"/>
        <v>3.6735499999999992</v>
      </c>
      <c r="M100" s="96"/>
      <c r="N100" s="97">
        <f t="shared" si="7"/>
        <v>3.3012999999999995</v>
      </c>
    </row>
    <row r="101" spans="1:14" ht="15" x14ac:dyDescent="0.2">
      <c r="A101" s="191">
        <f>+'Tabel 2021 52 weken incl. 27,5 '!A101</f>
        <v>198155</v>
      </c>
      <c r="B101" s="191" t="str">
        <f>+'Tabel 2021 52 weken incl. 27,5 '!B101</f>
        <v>en hoger</v>
      </c>
      <c r="C101" s="1"/>
      <c r="D101" s="136">
        <f>+'Tabel 2021 52 weken incl. 27,5 '!D101</f>
        <v>0.33300000000000002</v>
      </c>
      <c r="E101" s="134"/>
      <c r="F101" s="95">
        <f t="shared" si="4"/>
        <v>6.5493899999999998</v>
      </c>
      <c r="G101" s="94"/>
      <c r="H101" s="95">
        <f t="shared" si="5"/>
        <v>5.7723399999999998</v>
      </c>
      <c r="I101" s="1"/>
      <c r="J101" s="137">
        <f>+'Tabel 2021 52 weken incl. 27,5 '!J101</f>
        <v>0.67600000000000005</v>
      </c>
      <c r="K101" s="135"/>
      <c r="L101" s="97">
        <f t="shared" si="6"/>
        <v>3.7470799999999991</v>
      </c>
      <c r="M101" s="96"/>
      <c r="N101" s="97">
        <f t="shared" si="7"/>
        <v>3.3644799999999995</v>
      </c>
    </row>
    <row r="102" spans="1:14" x14ac:dyDescent="0.2">
      <c r="C102" s="1"/>
      <c r="I102" s="1"/>
    </row>
    <row r="103" spans="1:14" x14ac:dyDescent="0.2">
      <c r="C103" s="1"/>
      <c r="I103" s="1"/>
    </row>
    <row r="104" spans="1:14" x14ac:dyDescent="0.2">
      <c r="C104" s="1"/>
      <c r="I104" s="1"/>
    </row>
    <row r="105" spans="1:14" x14ac:dyDescent="0.2">
      <c r="A105" s="102"/>
      <c r="C105" s="1"/>
      <c r="I105" s="1"/>
    </row>
    <row r="106" spans="1:14" x14ac:dyDescent="0.2">
      <c r="A106" s="102"/>
      <c r="C106" s="1"/>
      <c r="I106" s="1"/>
    </row>
    <row r="107" spans="1:14" x14ac:dyDescent="0.2">
      <c r="C107" s="1"/>
      <c r="I107" s="1"/>
    </row>
    <row r="108" spans="1:14" x14ac:dyDescent="0.2">
      <c r="C108" s="1"/>
      <c r="I108" s="1"/>
    </row>
    <row r="109" spans="1:14" x14ac:dyDescent="0.2">
      <c r="C109" s="1"/>
      <c r="I109" s="1"/>
    </row>
    <row r="110" spans="1:14" ht="15.75" x14ac:dyDescent="0.2">
      <c r="A110" s="129"/>
      <c r="B110" s="130"/>
      <c r="C110" s="133"/>
      <c r="D110" s="128"/>
      <c r="I110" s="1"/>
    </row>
    <row r="111" spans="1:14" ht="15.75" x14ac:dyDescent="0.2">
      <c r="A111" s="130"/>
      <c r="B111" s="130"/>
      <c r="C111" s="133"/>
      <c r="D111" s="128"/>
      <c r="I111" s="1"/>
    </row>
    <row r="112" spans="1:14" ht="15.75" x14ac:dyDescent="0.2">
      <c r="A112" s="130"/>
      <c r="B112" s="130"/>
      <c r="C112" s="133"/>
      <c r="D112" s="128"/>
      <c r="I112" s="1"/>
    </row>
    <row r="113" spans="1:10" ht="15.75" x14ac:dyDescent="0.2">
      <c r="A113" s="130"/>
      <c r="B113" s="130"/>
      <c r="C113" s="133"/>
      <c r="D113" s="128"/>
      <c r="I113" s="1"/>
    </row>
    <row r="114" spans="1:10" ht="15.75" x14ac:dyDescent="0.2">
      <c r="A114" s="130"/>
      <c r="B114" s="130"/>
      <c r="C114" s="128"/>
      <c r="D114" s="128"/>
    </row>
    <row r="115" spans="1:10" ht="15.75" x14ac:dyDescent="0.2">
      <c r="A115" s="130"/>
      <c r="B115" s="130"/>
      <c r="C115" s="128"/>
      <c r="D115" s="128"/>
      <c r="F115"/>
      <c r="H115"/>
      <c r="J115"/>
    </row>
    <row r="116" spans="1:10" ht="15.75" x14ac:dyDescent="0.2">
      <c r="A116" s="130"/>
      <c r="B116" s="130"/>
      <c r="C116" s="128"/>
      <c r="D116" s="128"/>
      <c r="F116"/>
      <c r="H116"/>
      <c r="J116"/>
    </row>
    <row r="117" spans="1:10" ht="15.75" x14ac:dyDescent="0.2">
      <c r="A117" s="130"/>
      <c r="B117" s="130"/>
      <c r="C117" s="128"/>
      <c r="D117" s="128"/>
      <c r="F117"/>
      <c r="H117"/>
      <c r="J117"/>
    </row>
    <row r="118" spans="1:10" ht="15.75" x14ac:dyDescent="0.2">
      <c r="A118" s="130"/>
      <c r="B118" s="130"/>
      <c r="C118" s="128"/>
      <c r="D118" s="128"/>
      <c r="F118"/>
      <c r="H118"/>
      <c r="J118"/>
    </row>
    <row r="119" spans="1:10" ht="15.75" x14ac:dyDescent="0.2">
      <c r="A119" s="130"/>
      <c r="B119" s="130"/>
      <c r="C119" s="128"/>
      <c r="D119" s="128"/>
      <c r="F119"/>
      <c r="H119"/>
      <c r="J119"/>
    </row>
    <row r="120" spans="1:10" ht="15.75" x14ac:dyDescent="0.2">
      <c r="A120" s="130"/>
      <c r="B120" s="130"/>
      <c r="C120" s="128"/>
      <c r="D120" s="128"/>
      <c r="F120"/>
      <c r="H120"/>
      <c r="J120"/>
    </row>
    <row r="121" spans="1:10" ht="15.75" x14ac:dyDescent="0.2">
      <c r="A121" s="130"/>
      <c r="B121" s="130"/>
      <c r="C121" s="128"/>
      <c r="D121" s="128"/>
      <c r="F121"/>
      <c r="H121"/>
      <c r="J121"/>
    </row>
    <row r="122" spans="1:10" ht="15.75" x14ac:dyDescent="0.2">
      <c r="A122" s="130"/>
      <c r="B122" s="130"/>
      <c r="C122" s="128"/>
      <c r="D122" s="128"/>
      <c r="F122"/>
      <c r="H122"/>
      <c r="J122"/>
    </row>
    <row r="123" spans="1:10" ht="15.75" x14ac:dyDescent="0.2">
      <c r="A123" s="130"/>
      <c r="B123" s="130"/>
      <c r="C123" s="128"/>
      <c r="D123" s="128"/>
      <c r="F123"/>
      <c r="H123"/>
      <c r="J123"/>
    </row>
    <row r="124" spans="1:10" ht="15.75" x14ac:dyDescent="0.2">
      <c r="A124" s="130"/>
      <c r="B124" s="130"/>
      <c r="C124" s="128"/>
      <c r="D124" s="128"/>
      <c r="F124"/>
      <c r="H124"/>
      <c r="J124"/>
    </row>
    <row r="125" spans="1:10" ht="15.75" x14ac:dyDescent="0.2">
      <c r="A125" s="130"/>
      <c r="B125" s="130"/>
      <c r="C125" s="128"/>
      <c r="D125" s="128"/>
      <c r="F125"/>
      <c r="H125"/>
      <c r="J125"/>
    </row>
    <row r="126" spans="1:10" ht="15.75" x14ac:dyDescent="0.2">
      <c r="A126" s="130"/>
      <c r="B126" s="130"/>
      <c r="C126" s="128"/>
      <c r="D126" s="128"/>
      <c r="F126"/>
      <c r="H126"/>
      <c r="J126"/>
    </row>
    <row r="127" spans="1:10" ht="15.75" x14ac:dyDescent="0.2">
      <c r="A127" s="130"/>
      <c r="B127" s="130"/>
      <c r="C127" s="128"/>
      <c r="D127" s="128"/>
      <c r="F127"/>
      <c r="H127"/>
      <c r="J127"/>
    </row>
    <row r="128" spans="1:10" ht="15.75" x14ac:dyDescent="0.2">
      <c r="A128" s="130"/>
      <c r="B128" s="130"/>
      <c r="C128" s="128"/>
      <c r="D128" s="128"/>
      <c r="F128"/>
      <c r="H128"/>
      <c r="J128"/>
    </row>
    <row r="129" spans="1:10" ht="15.75" x14ac:dyDescent="0.2">
      <c r="A129" s="130"/>
      <c r="B129" s="130"/>
      <c r="C129" s="128"/>
      <c r="D129" s="128"/>
      <c r="F129"/>
      <c r="H129"/>
      <c r="J129"/>
    </row>
    <row r="130" spans="1:10" ht="15.75" x14ac:dyDescent="0.2">
      <c r="A130" s="130"/>
      <c r="B130" s="130"/>
      <c r="C130" s="128"/>
      <c r="D130" s="128"/>
      <c r="F130"/>
      <c r="H130"/>
      <c r="J130"/>
    </row>
    <row r="131" spans="1:10" ht="15.75" x14ac:dyDescent="0.2">
      <c r="A131" s="130"/>
      <c r="B131" s="130"/>
      <c r="C131" s="128"/>
      <c r="D131" s="128"/>
      <c r="F131"/>
      <c r="H131"/>
      <c r="J131"/>
    </row>
    <row r="132" spans="1:10" ht="15.75" x14ac:dyDescent="0.2">
      <c r="A132" s="130"/>
      <c r="B132" s="130"/>
      <c r="C132" s="128"/>
      <c r="D132" s="128"/>
      <c r="F132"/>
      <c r="H132"/>
      <c r="J132"/>
    </row>
    <row r="133" spans="1:10" ht="15.75" x14ac:dyDescent="0.2">
      <c r="A133" s="130"/>
      <c r="B133" s="130"/>
      <c r="C133" s="128"/>
      <c r="D133" s="128"/>
      <c r="F133"/>
      <c r="H133"/>
      <c r="J133"/>
    </row>
    <row r="134" spans="1:10" ht="15.75" x14ac:dyDescent="0.2">
      <c r="A134" s="130"/>
      <c r="B134" s="130"/>
      <c r="C134" s="128"/>
      <c r="D134" s="128"/>
      <c r="F134"/>
      <c r="H134"/>
      <c r="J134"/>
    </row>
    <row r="135" spans="1:10" ht="15.75" x14ac:dyDescent="0.2">
      <c r="A135" s="130"/>
      <c r="B135" s="130"/>
      <c r="C135" s="128"/>
      <c r="D135" s="128"/>
      <c r="F135"/>
      <c r="H135"/>
      <c r="J135"/>
    </row>
    <row r="136" spans="1:10" ht="15.75" x14ac:dyDescent="0.2">
      <c r="A136" s="130"/>
      <c r="B136" s="130"/>
      <c r="C136" s="128"/>
      <c r="D136" s="128"/>
      <c r="F136"/>
      <c r="H136"/>
      <c r="J136"/>
    </row>
    <row r="137" spans="1:10" ht="15.75" x14ac:dyDescent="0.2">
      <c r="A137" s="130"/>
      <c r="B137" s="130"/>
      <c r="C137" s="128"/>
      <c r="D137" s="128"/>
      <c r="F137"/>
      <c r="H137"/>
      <c r="J137"/>
    </row>
    <row r="138" spans="1:10" ht="15.75" x14ac:dyDescent="0.2">
      <c r="A138" s="130"/>
      <c r="B138" s="130"/>
      <c r="C138" s="128"/>
      <c r="D138" s="128"/>
      <c r="F138"/>
      <c r="H138"/>
      <c r="J138"/>
    </row>
    <row r="139" spans="1:10" ht="15.75" x14ac:dyDescent="0.2">
      <c r="A139" s="130"/>
      <c r="B139" s="130"/>
      <c r="C139" s="128"/>
      <c r="D139" s="128"/>
      <c r="F139"/>
      <c r="H139"/>
      <c r="J139"/>
    </row>
    <row r="140" spans="1:10" ht="15.75" x14ac:dyDescent="0.2">
      <c r="A140" s="130"/>
      <c r="B140" s="130"/>
      <c r="C140" s="128"/>
      <c r="D140" s="128"/>
      <c r="F140"/>
      <c r="H140"/>
      <c r="J140"/>
    </row>
    <row r="141" spans="1:10" ht="15.75" x14ac:dyDescent="0.2">
      <c r="A141" s="130"/>
      <c r="B141" s="130"/>
      <c r="C141" s="128"/>
      <c r="D141" s="128"/>
      <c r="F141"/>
      <c r="H141"/>
      <c r="J141"/>
    </row>
    <row r="142" spans="1:10" ht="15.75" x14ac:dyDescent="0.2">
      <c r="A142" s="130"/>
      <c r="B142" s="130"/>
      <c r="C142" s="128"/>
      <c r="D142" s="128"/>
      <c r="F142"/>
      <c r="H142"/>
      <c r="J142"/>
    </row>
    <row r="143" spans="1:10" ht="15.75" x14ac:dyDescent="0.2">
      <c r="A143" s="130"/>
      <c r="B143" s="130"/>
      <c r="C143" s="128"/>
      <c r="D143" s="128"/>
      <c r="F143"/>
      <c r="H143"/>
      <c r="J143"/>
    </row>
    <row r="144" spans="1:10" ht="15.75" x14ac:dyDescent="0.2">
      <c r="A144" s="130"/>
      <c r="B144" s="130"/>
      <c r="C144" s="128"/>
      <c r="D144" s="128"/>
      <c r="F144"/>
      <c r="H144"/>
      <c r="J144"/>
    </row>
    <row r="145" spans="1:10" ht="15.75" x14ac:dyDescent="0.2">
      <c r="A145" s="130"/>
      <c r="B145" s="130"/>
      <c r="C145" s="128"/>
      <c r="D145" s="128"/>
      <c r="F145"/>
      <c r="H145"/>
      <c r="J145"/>
    </row>
    <row r="146" spans="1:10" ht="15.75" x14ac:dyDescent="0.2">
      <c r="A146" s="130"/>
      <c r="B146" s="130"/>
      <c r="C146" s="128"/>
      <c r="D146" s="128"/>
      <c r="F146"/>
      <c r="H146"/>
      <c r="J146"/>
    </row>
    <row r="147" spans="1:10" ht="15.75" x14ac:dyDescent="0.2">
      <c r="A147" s="130"/>
      <c r="B147" s="130"/>
      <c r="C147" s="128"/>
      <c r="D147" s="128"/>
      <c r="F147"/>
      <c r="H147"/>
      <c r="J147"/>
    </row>
    <row r="148" spans="1:10" ht="15.75" x14ac:dyDescent="0.2">
      <c r="A148" s="130"/>
      <c r="B148" s="130"/>
      <c r="C148" s="128"/>
      <c r="D148" s="128"/>
      <c r="F148"/>
      <c r="H148"/>
      <c r="J148"/>
    </row>
    <row r="149" spans="1:10" ht="15.75" x14ac:dyDescent="0.2">
      <c r="A149" s="130"/>
      <c r="B149" s="130"/>
      <c r="C149" s="128"/>
      <c r="D149" s="128"/>
      <c r="F149"/>
      <c r="H149"/>
      <c r="J149"/>
    </row>
    <row r="150" spans="1:10" ht="15.75" x14ac:dyDescent="0.2">
      <c r="A150" s="131"/>
      <c r="B150" s="132"/>
      <c r="C150" s="128"/>
      <c r="D150" s="128"/>
      <c r="F150"/>
      <c r="H150"/>
      <c r="J150"/>
    </row>
    <row r="151" spans="1:10" ht="15.75" x14ac:dyDescent="0.2">
      <c r="A151" s="132"/>
      <c r="B151" s="132"/>
      <c r="C151" s="128"/>
      <c r="D151" s="128"/>
      <c r="F151"/>
      <c r="H151"/>
      <c r="J151"/>
    </row>
    <row r="152" spans="1:10" ht="15.75" x14ac:dyDescent="0.2">
      <c r="A152" s="132"/>
      <c r="B152" s="132"/>
      <c r="C152" s="128"/>
      <c r="D152" s="128"/>
      <c r="F152"/>
      <c r="H152"/>
      <c r="J152"/>
    </row>
    <row r="153" spans="1:10" ht="15.75" x14ac:dyDescent="0.2">
      <c r="A153" s="132"/>
      <c r="B153" s="132"/>
      <c r="C153" s="128"/>
      <c r="D153" s="128"/>
      <c r="F153"/>
      <c r="H153"/>
      <c r="J153"/>
    </row>
    <row r="154" spans="1:10" ht="15.75" x14ac:dyDescent="0.2">
      <c r="A154" s="132"/>
      <c r="B154" s="132"/>
      <c r="C154" s="128"/>
      <c r="D154" s="128"/>
      <c r="F154"/>
      <c r="H154"/>
      <c r="J154"/>
    </row>
    <row r="155" spans="1:10" ht="15.75" x14ac:dyDescent="0.2">
      <c r="A155" s="132"/>
      <c r="B155" s="132"/>
      <c r="C155" s="128"/>
      <c r="D155" s="128"/>
      <c r="F155"/>
      <c r="H155"/>
      <c r="J155"/>
    </row>
    <row r="156" spans="1:10" ht="15.75" x14ac:dyDescent="0.2">
      <c r="A156" s="132"/>
      <c r="B156" s="132"/>
      <c r="C156" s="128"/>
      <c r="D156" s="128"/>
      <c r="F156"/>
      <c r="H156"/>
      <c r="J156"/>
    </row>
    <row r="157" spans="1:10" ht="15.75" x14ac:dyDescent="0.2">
      <c r="A157" s="132"/>
      <c r="B157" s="132"/>
      <c r="C157" s="128"/>
      <c r="D157" s="128"/>
      <c r="F157"/>
      <c r="H157"/>
      <c r="J157"/>
    </row>
    <row r="158" spans="1:10" ht="15.75" x14ac:dyDescent="0.2">
      <c r="A158" s="132"/>
      <c r="B158" s="132"/>
      <c r="C158" s="128"/>
      <c r="D158" s="128"/>
      <c r="F158"/>
      <c r="H158"/>
      <c r="J158"/>
    </row>
    <row r="159" spans="1:10" ht="15.75" x14ac:dyDescent="0.2">
      <c r="A159" s="132"/>
      <c r="B159" s="132"/>
      <c r="C159" s="128"/>
      <c r="D159" s="128"/>
      <c r="F159"/>
      <c r="H159"/>
      <c r="J159"/>
    </row>
    <row r="160" spans="1:10" ht="15.75" x14ac:dyDescent="0.2">
      <c r="A160" s="132"/>
      <c r="B160" s="132"/>
      <c r="C160" s="128"/>
      <c r="D160" s="128"/>
      <c r="F160"/>
      <c r="H160"/>
      <c r="J160"/>
    </row>
    <row r="161" spans="1:10" ht="15.75" x14ac:dyDescent="0.2">
      <c r="A161" s="132"/>
      <c r="B161" s="132"/>
      <c r="C161" s="128"/>
      <c r="D161" s="128"/>
      <c r="F161"/>
      <c r="H161"/>
      <c r="J161"/>
    </row>
    <row r="162" spans="1:10" ht="15.75" x14ac:dyDescent="0.2">
      <c r="A162" s="132"/>
      <c r="B162" s="132"/>
      <c r="C162" s="128"/>
      <c r="D162" s="128"/>
      <c r="F162"/>
      <c r="H162"/>
      <c r="J162"/>
    </row>
    <row r="163" spans="1:10" ht="15.75" x14ac:dyDescent="0.2">
      <c r="A163" s="132"/>
      <c r="B163" s="132"/>
      <c r="C163" s="128"/>
      <c r="D163" s="128"/>
      <c r="F163"/>
      <c r="H163"/>
      <c r="J163"/>
    </row>
    <row r="164" spans="1:10" ht="15.75" x14ac:dyDescent="0.2">
      <c r="A164" s="132"/>
      <c r="B164" s="132"/>
      <c r="C164" s="128"/>
      <c r="D164" s="128"/>
      <c r="F164"/>
      <c r="H164"/>
      <c r="J164"/>
    </row>
    <row r="165" spans="1:10" ht="15.75" x14ac:dyDescent="0.2">
      <c r="A165" s="132"/>
      <c r="B165" s="132"/>
      <c r="C165" s="128"/>
      <c r="D165" s="128"/>
      <c r="F165"/>
      <c r="H165"/>
      <c r="J165"/>
    </row>
    <row r="166" spans="1:10" ht="15.75" x14ac:dyDescent="0.2">
      <c r="A166" s="132"/>
      <c r="B166" s="132"/>
      <c r="C166" s="128"/>
      <c r="D166" s="128"/>
      <c r="F166"/>
      <c r="H166"/>
      <c r="J166"/>
    </row>
    <row r="167" spans="1:10" ht="15.75" x14ac:dyDescent="0.2">
      <c r="A167" s="132"/>
      <c r="B167" s="131"/>
      <c r="C167" s="128"/>
      <c r="D167" s="128"/>
      <c r="F167"/>
      <c r="H167"/>
      <c r="J167"/>
    </row>
    <row r="168" spans="1:10" ht="15.75" x14ac:dyDescent="0.2">
      <c r="A168" s="132"/>
      <c r="B168" s="132"/>
      <c r="C168" s="128"/>
      <c r="D168" s="128"/>
      <c r="F168"/>
      <c r="H168"/>
      <c r="J168"/>
    </row>
    <row r="169" spans="1:10" ht="15.75" x14ac:dyDescent="0.2">
      <c r="A169" s="132"/>
      <c r="B169" s="132"/>
      <c r="C169" s="128"/>
      <c r="D169" s="128"/>
      <c r="F169"/>
      <c r="H169"/>
      <c r="J169"/>
    </row>
    <row r="170" spans="1:10" ht="15.75" x14ac:dyDescent="0.2">
      <c r="A170" s="132"/>
      <c r="B170" s="132"/>
      <c r="C170" s="128"/>
      <c r="D170" s="128"/>
      <c r="F170"/>
      <c r="H170"/>
      <c r="J170"/>
    </row>
    <row r="171" spans="1:10" ht="15.75" x14ac:dyDescent="0.2">
      <c r="A171" s="132"/>
      <c r="B171" s="132"/>
      <c r="C171" s="128"/>
      <c r="D171" s="128"/>
      <c r="F171"/>
      <c r="H171"/>
      <c r="J171"/>
    </row>
    <row r="172" spans="1:10" ht="15.75" x14ac:dyDescent="0.2">
      <c r="A172" s="132"/>
      <c r="B172" s="132"/>
      <c r="C172" s="128"/>
      <c r="D172" s="128"/>
      <c r="F172"/>
      <c r="H172"/>
      <c r="J172"/>
    </row>
    <row r="173" spans="1:10" ht="15.75" x14ac:dyDescent="0.2">
      <c r="A173" s="132"/>
      <c r="B173" s="132"/>
      <c r="C173" s="128"/>
      <c r="D173" s="128"/>
      <c r="F173"/>
      <c r="H173"/>
      <c r="J173"/>
    </row>
    <row r="174" spans="1:10" ht="15.75" x14ac:dyDescent="0.2">
      <c r="A174" s="132"/>
      <c r="B174" s="132"/>
      <c r="C174" s="128"/>
      <c r="D174" s="128"/>
      <c r="F174"/>
      <c r="H174"/>
      <c r="J174"/>
    </row>
    <row r="175" spans="1:10" ht="15.75" x14ac:dyDescent="0.2">
      <c r="A175" s="132"/>
      <c r="B175" s="132"/>
      <c r="C175" s="128"/>
      <c r="D175" s="128"/>
      <c r="F175"/>
      <c r="H175"/>
      <c r="J175"/>
    </row>
    <row r="176" spans="1:10" ht="15.75" x14ac:dyDescent="0.2">
      <c r="A176" s="132"/>
      <c r="B176" s="132"/>
      <c r="C176" s="128"/>
      <c r="D176" s="128"/>
      <c r="F176"/>
      <c r="H176"/>
      <c r="J176"/>
    </row>
    <row r="177" spans="1:10" ht="15.75" x14ac:dyDescent="0.2">
      <c r="A177" s="132"/>
      <c r="B177" s="132"/>
      <c r="C177" s="128"/>
      <c r="D177" s="128"/>
      <c r="F177"/>
      <c r="H177"/>
      <c r="J177"/>
    </row>
    <row r="178" spans="1:10" ht="15.75" x14ac:dyDescent="0.2">
      <c r="A178" s="132"/>
      <c r="B178" s="129"/>
      <c r="C178" s="128"/>
      <c r="D178" s="128"/>
      <c r="F178"/>
      <c r="H178"/>
      <c r="J178"/>
    </row>
  </sheetData>
  <mergeCells count="3">
    <mergeCell ref="A24:B24"/>
    <mergeCell ref="D24:H24"/>
    <mergeCell ref="J24:N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8"/>
  <sheetViews>
    <sheetView topLeftCell="A4" workbookViewId="0">
      <pane ySplit="13" topLeftCell="A17" activePane="bottomLeft" state="frozen"/>
      <selection activeCell="A4" sqref="A4"/>
      <selection pane="bottomLeft" activeCell="F28" sqref="F28"/>
    </sheetView>
  </sheetViews>
  <sheetFormatPr defaultRowHeight="12.75" x14ac:dyDescent="0.2"/>
  <cols>
    <col min="1" max="2" width="12" style="67" customWidth="1"/>
    <col min="3" max="3" width="2.7109375" customWidth="1"/>
    <col min="4" max="4" width="12" style="68" customWidth="1"/>
    <col min="5" max="5" width="2.7109375" customWidth="1"/>
    <col min="6" max="6" width="12" style="69" customWidth="1"/>
    <col min="7" max="7" width="2.7109375" customWidth="1"/>
    <col min="8" max="8" width="12" style="69" customWidth="1"/>
    <col min="9" max="9" width="2.7109375" customWidth="1"/>
    <col min="10" max="10" width="12" style="68" customWidth="1"/>
    <col min="11" max="11" width="2.7109375" customWidth="1"/>
    <col min="12" max="12" width="12" customWidth="1"/>
    <col min="13" max="13" width="2.7109375" customWidth="1"/>
    <col min="14" max="14" width="12" customWidth="1"/>
  </cols>
  <sheetData>
    <row r="1" spans="1:2" s="1" customFormat="1" ht="19.5" x14ac:dyDescent="0.25">
      <c r="A1" s="63" t="s">
        <v>211</v>
      </c>
    </row>
    <row r="2" spans="1:2" s="1" customFormat="1" x14ac:dyDescent="0.2">
      <c r="A2" s="1" t="s">
        <v>214</v>
      </c>
    </row>
    <row r="3" spans="1:2" s="1" customFormat="1" x14ac:dyDescent="0.2"/>
    <row r="4" spans="1:2" s="1" customFormat="1" x14ac:dyDescent="0.2"/>
    <row r="5" spans="1:2" s="1" customFormat="1" ht="14.25" x14ac:dyDescent="0.2">
      <c r="A5" s="64" t="s">
        <v>55</v>
      </c>
    </row>
    <row r="6" spans="1:2" s="1" customFormat="1" x14ac:dyDescent="0.2"/>
    <row r="7" spans="1:2" s="1" customFormat="1" ht="15" x14ac:dyDescent="0.2">
      <c r="A7" s="65" t="s">
        <v>56</v>
      </c>
      <c r="B7" s="1" t="s">
        <v>57</v>
      </c>
    </row>
    <row r="8" spans="1:2" s="1" customFormat="1" ht="15" x14ac:dyDescent="0.2">
      <c r="A8" s="65" t="s">
        <v>58</v>
      </c>
      <c r="B8" s="1" t="s">
        <v>217</v>
      </c>
    </row>
    <row r="9" spans="1:2" s="1" customFormat="1" ht="15" x14ac:dyDescent="0.2">
      <c r="A9" s="66"/>
      <c r="B9" s="1" t="s">
        <v>59</v>
      </c>
    </row>
    <row r="10" spans="1:2" s="1" customFormat="1" ht="15" x14ac:dyDescent="0.2">
      <c r="A10" s="66"/>
      <c r="B10" s="10" t="s">
        <v>60</v>
      </c>
    </row>
    <row r="11" spans="1:2" s="1" customFormat="1" ht="15" x14ac:dyDescent="0.2">
      <c r="A11" s="66"/>
      <c r="B11" s="10" t="s">
        <v>61</v>
      </c>
    </row>
    <row r="12" spans="1:2" s="1" customFormat="1" ht="15" x14ac:dyDescent="0.2">
      <c r="A12" s="65" t="s">
        <v>62</v>
      </c>
      <c r="B12" s="1" t="s">
        <v>218</v>
      </c>
    </row>
    <row r="13" spans="1:2" s="1" customFormat="1" x14ac:dyDescent="0.2">
      <c r="B13" s="1" t="s">
        <v>59</v>
      </c>
    </row>
    <row r="14" spans="1:2" s="1" customFormat="1" x14ac:dyDescent="0.2">
      <c r="B14" s="10" t="s">
        <v>60</v>
      </c>
    </row>
    <row r="15" spans="1:2" s="1" customFormat="1" x14ac:dyDescent="0.2">
      <c r="B15" s="10" t="s">
        <v>61</v>
      </c>
    </row>
    <row r="16" spans="1:2" s="1" customFormat="1" x14ac:dyDescent="0.2">
      <c r="B16" s="10"/>
    </row>
    <row r="17" spans="1:14" s="1" customFormat="1" x14ac:dyDescent="0.2">
      <c r="B17" s="10"/>
    </row>
    <row r="18" spans="1:14" x14ac:dyDescent="0.2">
      <c r="F18" s="69" t="s">
        <v>63</v>
      </c>
      <c r="J18" s="70"/>
    </row>
    <row r="19" spans="1:14" x14ac:dyDescent="0.2">
      <c r="A19" s="69" t="s">
        <v>64</v>
      </c>
      <c r="D19" s="337">
        <f>+'Tabel 2021 52 weken incl. 27,5 '!D19</f>
        <v>8.17</v>
      </c>
      <c r="F19" s="250">
        <f>IF(F28-D19&gt;0,F28-D19,0)</f>
        <v>1.3100000000000005</v>
      </c>
      <c r="L19" s="71"/>
      <c r="N19" s="69"/>
    </row>
    <row r="20" spans="1:14" x14ac:dyDescent="0.2">
      <c r="A20" s="69" t="s">
        <v>65</v>
      </c>
      <c r="D20" s="337">
        <f>+'Tabel 2021 52 weken incl. 27,5 '!D20</f>
        <v>7.02</v>
      </c>
      <c r="F20" s="69">
        <f>H28-D20</f>
        <v>1.4700000000000006</v>
      </c>
      <c r="N20" s="69"/>
    </row>
    <row r="21" spans="1:14" x14ac:dyDescent="0.2">
      <c r="A21" s="69"/>
      <c r="D21" s="69"/>
      <c r="N21" s="69"/>
    </row>
    <row r="22" spans="1:14" x14ac:dyDescent="0.2">
      <c r="A22" s="69"/>
      <c r="B22" s="260"/>
      <c r="D22" s="69"/>
      <c r="N22" s="69"/>
    </row>
    <row r="23" spans="1:14" x14ac:dyDescent="0.2">
      <c r="A23" s="69"/>
      <c r="B23" s="261"/>
      <c r="D23" s="69"/>
      <c r="N23" s="69"/>
    </row>
    <row r="24" spans="1:14" ht="15" x14ac:dyDescent="0.2">
      <c r="A24" s="348" t="s">
        <v>66</v>
      </c>
      <c r="B24" s="348"/>
      <c r="D24" s="349" t="s">
        <v>67</v>
      </c>
      <c r="E24" s="349"/>
      <c r="F24" s="349"/>
      <c r="G24" s="349"/>
      <c r="H24" s="349"/>
      <c r="I24" s="72"/>
      <c r="J24" s="350" t="s">
        <v>68</v>
      </c>
      <c r="K24" s="350"/>
      <c r="L24" s="350"/>
      <c r="M24" s="350"/>
      <c r="N24" s="350"/>
    </row>
    <row r="25" spans="1:14" x14ac:dyDescent="0.2">
      <c r="A25" s="73" t="s">
        <v>69</v>
      </c>
      <c r="B25" s="73"/>
      <c r="D25" s="251" t="s">
        <v>70</v>
      </c>
      <c r="E25" s="74"/>
      <c r="F25" s="75"/>
      <c r="G25" s="74"/>
      <c r="H25" s="75"/>
      <c r="J25" s="252" t="s">
        <v>70</v>
      </c>
      <c r="K25" s="76"/>
      <c r="L25" s="76"/>
      <c r="M25" s="76"/>
      <c r="N25" s="76"/>
    </row>
    <row r="26" spans="1:14" x14ac:dyDescent="0.2">
      <c r="A26" s="73" t="s">
        <v>71</v>
      </c>
      <c r="B26" s="73"/>
      <c r="D26" s="251" t="s">
        <v>72</v>
      </c>
      <c r="E26" s="74"/>
      <c r="F26" s="77" t="s">
        <v>73</v>
      </c>
      <c r="G26" s="78"/>
      <c r="H26" s="77" t="s">
        <v>74</v>
      </c>
      <c r="J26" s="252" t="s">
        <v>72</v>
      </c>
      <c r="K26" s="76"/>
      <c r="L26" s="79" t="s">
        <v>75</v>
      </c>
      <c r="M26" s="76"/>
      <c r="N26" s="79" t="s">
        <v>76</v>
      </c>
    </row>
    <row r="27" spans="1:14" x14ac:dyDescent="0.2">
      <c r="A27" s="73"/>
      <c r="B27" s="73"/>
      <c r="D27" s="80"/>
      <c r="E27" s="74"/>
      <c r="F27" s="81" t="s">
        <v>77</v>
      </c>
      <c r="G27" s="82"/>
      <c r="H27" s="81" t="s">
        <v>78</v>
      </c>
      <c r="J27" s="83"/>
      <c r="K27" s="76"/>
      <c r="L27" s="84" t="s">
        <v>77</v>
      </c>
      <c r="M27" s="85"/>
      <c r="N27" s="84" t="s">
        <v>78</v>
      </c>
    </row>
    <row r="28" spans="1:14" x14ac:dyDescent="0.2">
      <c r="A28" s="73"/>
      <c r="B28" s="73"/>
      <c r="D28" s="80"/>
      <c r="E28" s="74"/>
      <c r="F28" s="249">
        <v>9.48</v>
      </c>
      <c r="G28" s="82"/>
      <c r="H28" s="249">
        <v>8.49</v>
      </c>
      <c r="J28" s="83"/>
      <c r="K28" s="76"/>
      <c r="L28" s="86">
        <f>F28</f>
        <v>9.48</v>
      </c>
      <c r="M28" s="76"/>
      <c r="N28" s="86">
        <f>H28</f>
        <v>8.49</v>
      </c>
    </row>
    <row r="29" spans="1:14" ht="13.5" thickBot="1" x14ac:dyDescent="0.25">
      <c r="A29" s="73"/>
      <c r="B29" s="73"/>
      <c r="D29" s="80"/>
      <c r="E29" s="74"/>
      <c r="F29" s="75"/>
      <c r="G29" s="74"/>
      <c r="H29" s="75"/>
      <c r="J29" s="83"/>
      <c r="K29" s="76"/>
      <c r="L29" s="76"/>
      <c r="M29" s="76"/>
      <c r="N29" s="76"/>
    </row>
    <row r="30" spans="1:14" x14ac:dyDescent="0.2">
      <c r="A30" s="87" t="s">
        <v>79</v>
      </c>
      <c r="B30" s="87" t="s">
        <v>80</v>
      </c>
      <c r="C30" s="1"/>
      <c r="D30" s="254" t="s">
        <v>81</v>
      </c>
      <c r="E30" s="88"/>
      <c r="F30" s="89" t="s">
        <v>82</v>
      </c>
      <c r="G30" s="88"/>
      <c r="H30" s="89" t="s">
        <v>82</v>
      </c>
      <c r="J30" s="255" t="s">
        <v>83</v>
      </c>
      <c r="K30" s="76"/>
      <c r="L30" s="90" t="s">
        <v>82</v>
      </c>
      <c r="M30" s="76"/>
      <c r="N30" s="90" t="s">
        <v>82</v>
      </c>
    </row>
    <row r="31" spans="1:14" ht="13.5" thickBot="1" x14ac:dyDescent="0.25">
      <c r="A31" s="91"/>
      <c r="B31" s="91"/>
      <c r="C31" s="1"/>
      <c r="D31" s="256" t="s">
        <v>84</v>
      </c>
      <c r="E31" s="88"/>
      <c r="F31" s="92" t="s">
        <v>85</v>
      </c>
      <c r="G31" s="88"/>
      <c r="H31" s="92" t="s">
        <v>85</v>
      </c>
      <c r="J31" s="257" t="s">
        <v>86</v>
      </c>
      <c r="K31" s="76"/>
      <c r="L31" s="93" t="s">
        <v>85</v>
      </c>
      <c r="M31" s="76"/>
      <c r="N31" s="93" t="s">
        <v>85</v>
      </c>
    </row>
    <row r="32" spans="1:14" x14ac:dyDescent="0.2">
      <c r="A32" s="73"/>
      <c r="B32" s="73"/>
      <c r="D32" s="80"/>
      <c r="E32" s="74"/>
      <c r="F32" s="75"/>
      <c r="G32" s="74"/>
      <c r="H32" s="75"/>
      <c r="J32" s="83"/>
      <c r="K32" s="76"/>
      <c r="L32" s="76"/>
      <c r="M32" s="76"/>
      <c r="N32" s="76"/>
    </row>
    <row r="33" spans="1:24" ht="15" x14ac:dyDescent="0.2">
      <c r="A33" s="191" t="str">
        <f>+'Tabel 2021 52 weken incl. 27,5 '!A33</f>
        <v>lager dan</v>
      </c>
      <c r="B33" s="191">
        <f>+'Tabel 2021 52 weken incl. 27,5 '!B33</f>
        <v>20302</v>
      </c>
      <c r="C33" s="1"/>
      <c r="D33" s="136">
        <f>+'Tabel 2021 52 weken incl. 27,5 '!D33</f>
        <v>0.96</v>
      </c>
      <c r="E33" s="134"/>
      <c r="F33" s="95">
        <f>IF($D$19&gt;=$F$28,($F$28*(100%-D33))+($F$19),$D$19*(100%-D33)+$F$19)</f>
        <v>1.6368000000000009</v>
      </c>
      <c r="G33" s="94"/>
      <c r="H33" s="95">
        <f>IF($D$20&gt;=$H$28,($H$28*(100%-D33))+($F$20),$D$20*(100%-D33)+($F$20))</f>
        <v>1.7508000000000008</v>
      </c>
      <c r="I33" s="1"/>
      <c r="J33" s="137">
        <f>+'Tabel 2021 52 weken incl. 27,5 '!J33</f>
        <v>0.96</v>
      </c>
      <c r="K33" s="135"/>
      <c r="L33" s="97">
        <f>IF($D$19&gt;=$L$28,($L$28*(100%-J33))+(F$19),$D$19*(100%-J33)+$F$19)</f>
        <v>1.6368000000000009</v>
      </c>
      <c r="M33" s="96"/>
      <c r="N33" s="97">
        <f>IF($D$20&gt;=$H$28,($H$28*(100%-J33))+($F$20),$D$20*(100%-J33)+($F$20))</f>
        <v>1.7508000000000008</v>
      </c>
      <c r="P33" s="258"/>
    </row>
    <row r="34" spans="1:24" ht="15" x14ac:dyDescent="0.2">
      <c r="A34" s="191">
        <f>+'Tabel 2021 52 weken incl. 27,5 '!A34</f>
        <v>20303</v>
      </c>
      <c r="B34" s="191">
        <f>+'Tabel 2021 52 weken incl. 27,5 '!B34</f>
        <v>21654</v>
      </c>
      <c r="C34" s="1"/>
      <c r="D34" s="136">
        <f>+'Tabel 2021 52 weken incl. 27,5 '!D34</f>
        <v>0.96</v>
      </c>
      <c r="E34" s="134"/>
      <c r="F34" s="95">
        <f t="shared" ref="F34:F97" si="0">IF($D$19&gt;=$F$28,($F$28*(100%-D34))+($F$19),$D$19*(100%-D34)+$F$19)</f>
        <v>1.6368000000000009</v>
      </c>
      <c r="G34" s="94"/>
      <c r="H34" s="95">
        <f t="shared" ref="H34:H97" si="1">IF($D$20&gt;=$H$28,($H$28*(100%-D34))+($F$20),$D$20*(100%-D34)+($F$20))</f>
        <v>1.7508000000000008</v>
      </c>
      <c r="I34" s="1"/>
      <c r="J34" s="137">
        <f>+'Tabel 2021 52 weken incl. 27,5 '!J34</f>
        <v>0.96</v>
      </c>
      <c r="K34" s="135"/>
      <c r="L34" s="97">
        <f t="shared" ref="L34:L97" si="2">IF($D$19&gt;=$L$28,($L$28*(100%-J34))+(F$19),$D$19*(100%-J34)+$F$19)</f>
        <v>1.6368000000000009</v>
      </c>
      <c r="M34" s="96"/>
      <c r="N34" s="97">
        <f t="shared" ref="N34:N97" si="3">IF($D$20&gt;=$H$28,($H$28*(100%-J34))+($F$20),$D$20*(100%-J34)+($F$20))</f>
        <v>1.7508000000000008</v>
      </c>
    </row>
    <row r="35" spans="1:24" ht="15" x14ac:dyDescent="0.2">
      <c r="A35" s="191">
        <f>+'Tabel 2021 52 weken incl. 27,5 '!A35</f>
        <v>21655</v>
      </c>
      <c r="B35" s="191">
        <f>+'Tabel 2021 52 weken incl. 27,5 '!B35</f>
        <v>23004</v>
      </c>
      <c r="C35" s="1"/>
      <c r="D35" s="136">
        <f>+'Tabel 2021 52 weken incl. 27,5 '!D35</f>
        <v>0.96</v>
      </c>
      <c r="E35" s="134"/>
      <c r="F35" s="95">
        <f t="shared" si="0"/>
        <v>1.6368000000000009</v>
      </c>
      <c r="G35" s="94"/>
      <c r="H35" s="95">
        <f t="shared" si="1"/>
        <v>1.7508000000000008</v>
      </c>
      <c r="I35" s="1"/>
      <c r="J35" s="137">
        <f>+'Tabel 2021 52 weken incl. 27,5 '!J35</f>
        <v>0.96</v>
      </c>
      <c r="K35" s="135"/>
      <c r="L35" s="97">
        <f t="shared" si="2"/>
        <v>1.6368000000000009</v>
      </c>
      <c r="M35" s="96"/>
      <c r="N35" s="97">
        <f t="shared" si="3"/>
        <v>1.7508000000000008</v>
      </c>
      <c r="R35" s="98"/>
    </row>
    <row r="36" spans="1:24" ht="15" x14ac:dyDescent="0.2">
      <c r="A36" s="191">
        <f>+'Tabel 2021 52 weken incl. 27,5 '!A36</f>
        <v>23005</v>
      </c>
      <c r="B36" s="191">
        <f>+'Tabel 2021 52 weken incl. 27,5 '!B36</f>
        <v>24357</v>
      </c>
      <c r="C36" s="1"/>
      <c r="D36" s="136">
        <f>+'Tabel 2021 52 weken incl. 27,5 '!D36</f>
        <v>0.96</v>
      </c>
      <c r="E36" s="134"/>
      <c r="F36" s="95">
        <f t="shared" si="0"/>
        <v>1.6368000000000009</v>
      </c>
      <c r="G36" s="94"/>
      <c r="H36" s="95">
        <f t="shared" si="1"/>
        <v>1.7508000000000008</v>
      </c>
      <c r="I36" s="1"/>
      <c r="J36" s="137">
        <f>+'Tabel 2021 52 weken incl. 27,5 '!J36</f>
        <v>0.96</v>
      </c>
      <c r="K36" s="135"/>
      <c r="L36" s="97">
        <f t="shared" si="2"/>
        <v>1.6368000000000009</v>
      </c>
      <c r="M36" s="96"/>
      <c r="N36" s="97">
        <f t="shared" si="3"/>
        <v>1.7508000000000008</v>
      </c>
    </row>
    <row r="37" spans="1:24" ht="15" x14ac:dyDescent="0.2">
      <c r="A37" s="191">
        <f>+'Tabel 2021 52 weken incl. 27,5 '!A37</f>
        <v>24358</v>
      </c>
      <c r="B37" s="191">
        <f>+'Tabel 2021 52 weken incl. 27,5 '!B37</f>
        <v>25709</v>
      </c>
      <c r="C37" s="1"/>
      <c r="D37" s="136">
        <f>+'Tabel 2021 52 weken incl. 27,5 '!D37</f>
        <v>0.96</v>
      </c>
      <c r="E37" s="134"/>
      <c r="F37" s="95">
        <f t="shared" si="0"/>
        <v>1.6368000000000009</v>
      </c>
      <c r="G37" s="94"/>
      <c r="H37" s="95">
        <f t="shared" si="1"/>
        <v>1.7508000000000008</v>
      </c>
      <c r="I37" s="1"/>
      <c r="J37" s="137">
        <f>+'Tabel 2021 52 weken incl. 27,5 '!J37</f>
        <v>0.96</v>
      </c>
      <c r="K37" s="135"/>
      <c r="L37" s="97">
        <f t="shared" si="2"/>
        <v>1.6368000000000009</v>
      </c>
      <c r="M37" s="96"/>
      <c r="N37" s="97">
        <f t="shared" si="3"/>
        <v>1.7508000000000008</v>
      </c>
    </row>
    <row r="38" spans="1:24" ht="15" x14ac:dyDescent="0.2">
      <c r="A38" s="191">
        <f>+'Tabel 2021 52 weken incl. 27,5 '!A38</f>
        <v>25710</v>
      </c>
      <c r="B38" s="191">
        <f>+'Tabel 2021 52 weken incl. 27,5 '!B38</f>
        <v>27061</v>
      </c>
      <c r="C38" s="1"/>
      <c r="D38" s="136">
        <f>+'Tabel 2021 52 weken incl. 27,5 '!D38</f>
        <v>0.95599999999999996</v>
      </c>
      <c r="E38" s="134"/>
      <c r="F38" s="95">
        <f t="shared" si="0"/>
        <v>1.6694800000000007</v>
      </c>
      <c r="G38" s="94"/>
      <c r="H38" s="95">
        <f t="shared" si="1"/>
        <v>1.7788800000000009</v>
      </c>
      <c r="I38" s="1"/>
      <c r="J38" s="137">
        <f>+'Tabel 2021 52 weken incl. 27,5 '!J38</f>
        <v>0.95699999999999996</v>
      </c>
      <c r="K38" s="135"/>
      <c r="L38" s="97">
        <f t="shared" si="2"/>
        <v>1.6613100000000007</v>
      </c>
      <c r="M38" s="96"/>
      <c r="N38" s="97">
        <f t="shared" si="3"/>
        <v>1.7718600000000009</v>
      </c>
    </row>
    <row r="39" spans="1:24" ht="15" x14ac:dyDescent="0.2">
      <c r="A39" s="191">
        <f>+'Tabel 2021 52 weken incl. 27,5 '!A39</f>
        <v>27062</v>
      </c>
      <c r="B39" s="191">
        <f>+'Tabel 2021 52 weken incl. 27,5 '!B39</f>
        <v>28412</v>
      </c>
      <c r="C39" s="1"/>
      <c r="D39" s="136">
        <f>+'Tabel 2021 52 weken incl. 27,5 '!D39</f>
        <v>0.94499999999999995</v>
      </c>
      <c r="E39" s="134"/>
      <c r="F39" s="95">
        <f t="shared" si="0"/>
        <v>1.7593500000000009</v>
      </c>
      <c r="G39" s="94"/>
      <c r="H39" s="95">
        <f t="shared" si="1"/>
        <v>1.856100000000001</v>
      </c>
      <c r="I39" s="1"/>
      <c r="J39" s="137">
        <f>+'Tabel 2021 52 weken incl. 27,5 '!J39</f>
        <v>0.95499999999999996</v>
      </c>
      <c r="K39" s="135"/>
      <c r="L39" s="97">
        <f t="shared" si="2"/>
        <v>1.6776500000000008</v>
      </c>
      <c r="M39" s="96"/>
      <c r="N39" s="97">
        <f t="shared" si="3"/>
        <v>1.7859000000000009</v>
      </c>
    </row>
    <row r="40" spans="1:24" ht="15" x14ac:dyDescent="0.2">
      <c r="A40" s="191">
        <f>+'Tabel 2021 52 weken incl. 27,5 '!A40</f>
        <v>28413</v>
      </c>
      <c r="B40" s="191">
        <f>+'Tabel 2021 52 weken incl. 27,5 '!B40</f>
        <v>29760</v>
      </c>
      <c r="C40" s="1"/>
      <c r="D40" s="136">
        <f>+'Tabel 2021 52 weken incl. 27,5 '!D40</f>
        <v>0.93500000000000005</v>
      </c>
      <c r="E40" s="134"/>
      <c r="F40" s="95">
        <f t="shared" si="0"/>
        <v>1.8410500000000001</v>
      </c>
      <c r="G40" s="94"/>
      <c r="H40" s="95">
        <f t="shared" si="1"/>
        <v>1.9263000000000003</v>
      </c>
      <c r="I40" s="1"/>
      <c r="J40" s="137">
        <f>+'Tabel 2021 52 weken incl. 27,5 '!J40</f>
        <v>0.95299999999999996</v>
      </c>
      <c r="K40" s="135"/>
      <c r="L40" s="97">
        <f t="shared" si="2"/>
        <v>1.6939900000000008</v>
      </c>
      <c r="M40" s="96"/>
      <c r="N40" s="97">
        <f t="shared" si="3"/>
        <v>1.799940000000001</v>
      </c>
    </row>
    <row r="41" spans="1:24" ht="15" x14ac:dyDescent="0.2">
      <c r="A41" s="191">
        <f>+'Tabel 2021 52 weken incl. 27,5 '!A41</f>
        <v>29761</v>
      </c>
      <c r="B41" s="191">
        <f>+'Tabel 2021 52 weken incl. 27,5 '!B41</f>
        <v>31214</v>
      </c>
      <c r="C41" s="1"/>
      <c r="D41" s="136">
        <f>+'Tabel 2021 52 weken incl. 27,5 '!D41</f>
        <v>0.92600000000000005</v>
      </c>
      <c r="E41" s="134"/>
      <c r="F41" s="95">
        <f t="shared" si="0"/>
        <v>1.9145800000000002</v>
      </c>
      <c r="G41" s="94"/>
      <c r="H41" s="95">
        <f t="shared" si="1"/>
        <v>1.9894800000000004</v>
      </c>
      <c r="I41" s="1"/>
      <c r="J41" s="137">
        <f>+'Tabel 2021 52 weken incl. 27,5 '!J41</f>
        <v>0.95099999999999996</v>
      </c>
      <c r="K41" s="135"/>
      <c r="L41" s="97">
        <f t="shared" si="2"/>
        <v>1.7103300000000008</v>
      </c>
      <c r="M41" s="96"/>
      <c r="N41" s="97">
        <f t="shared" si="3"/>
        <v>1.8139800000000008</v>
      </c>
    </row>
    <row r="42" spans="1:24" ht="15" x14ac:dyDescent="0.2">
      <c r="A42" s="191">
        <f>+'Tabel 2021 52 weken incl. 27,5 '!A42</f>
        <v>31215</v>
      </c>
      <c r="B42" s="191">
        <f>+'Tabel 2021 52 weken incl. 27,5 '!B42</f>
        <v>32666</v>
      </c>
      <c r="C42" s="1"/>
      <c r="D42" s="136">
        <f>+'Tabel 2021 52 weken incl. 27,5 '!D42</f>
        <v>0.92</v>
      </c>
      <c r="E42" s="134"/>
      <c r="F42" s="95">
        <f t="shared" si="0"/>
        <v>1.9636</v>
      </c>
      <c r="G42" s="94"/>
      <c r="H42" s="95">
        <f t="shared" si="1"/>
        <v>2.0316000000000001</v>
      </c>
      <c r="I42" s="1"/>
      <c r="J42" s="137">
        <f>+'Tabel 2021 52 weken incl. 27,5 '!J42</f>
        <v>0.95</v>
      </c>
      <c r="K42" s="135"/>
      <c r="L42" s="97">
        <f t="shared" si="2"/>
        <v>1.7185000000000008</v>
      </c>
      <c r="M42" s="96"/>
      <c r="N42" s="97">
        <f t="shared" si="3"/>
        <v>1.8210000000000011</v>
      </c>
    </row>
    <row r="43" spans="1:24" ht="15" x14ac:dyDescent="0.2">
      <c r="A43" s="191">
        <f>+'Tabel 2021 52 weken incl. 27,5 '!A43</f>
        <v>32668</v>
      </c>
      <c r="B43" s="191">
        <f>+'Tabel 2021 52 weken incl. 27,5 '!B43</f>
        <v>34122</v>
      </c>
      <c r="C43" s="1"/>
      <c r="D43" s="136">
        <f>+'Tabel 2021 52 weken incl. 27,5 '!D43</f>
        <v>0.91</v>
      </c>
      <c r="E43" s="134"/>
      <c r="F43" s="95">
        <f t="shared" si="0"/>
        <v>2.0453000000000001</v>
      </c>
      <c r="G43" s="94"/>
      <c r="H43" s="95">
        <f t="shared" si="1"/>
        <v>2.1018000000000003</v>
      </c>
      <c r="I43" s="1"/>
      <c r="J43" s="137">
        <f>+'Tabel 2021 52 weken incl. 27,5 '!J43</f>
        <v>0.94799999999999995</v>
      </c>
      <c r="K43" s="135"/>
      <c r="L43" s="97">
        <f t="shared" si="2"/>
        <v>1.7348400000000008</v>
      </c>
      <c r="M43" s="96"/>
      <c r="N43" s="97">
        <f t="shared" si="3"/>
        <v>1.8350400000000009</v>
      </c>
    </row>
    <row r="44" spans="1:24" ht="15" x14ac:dyDescent="0.2">
      <c r="A44" s="191">
        <f>+'Tabel 2021 52 weken incl. 27,5 '!A44</f>
        <v>34123</v>
      </c>
      <c r="B44" s="191">
        <f>+'Tabel 2021 52 weken incl. 27,5 '!B44</f>
        <v>35574</v>
      </c>
      <c r="C44" s="1"/>
      <c r="D44" s="136">
        <f>+'Tabel 2021 52 weken incl. 27,5 '!D44</f>
        <v>0.90500000000000003</v>
      </c>
      <c r="E44" s="134"/>
      <c r="F44" s="95">
        <f t="shared" si="0"/>
        <v>2.0861500000000004</v>
      </c>
      <c r="G44" s="94"/>
      <c r="H44" s="95">
        <f t="shared" si="1"/>
        <v>2.1369000000000007</v>
      </c>
      <c r="I44" s="1"/>
      <c r="J44" s="137">
        <f>+'Tabel 2021 52 weken incl. 27,5 '!J44</f>
        <v>0.94599999999999995</v>
      </c>
      <c r="K44" s="135"/>
      <c r="L44" s="97">
        <f t="shared" si="2"/>
        <v>1.7511800000000008</v>
      </c>
      <c r="M44" s="96"/>
      <c r="N44" s="97">
        <f t="shared" si="3"/>
        <v>1.8490800000000009</v>
      </c>
    </row>
    <row r="45" spans="1:24" ht="15" x14ac:dyDescent="0.2">
      <c r="A45" s="191">
        <f>+'Tabel 2021 52 weken incl. 27,5 '!A45</f>
        <v>35575</v>
      </c>
      <c r="B45" s="191">
        <f>+'Tabel 2021 52 weken incl. 27,5 '!B45</f>
        <v>37031</v>
      </c>
      <c r="C45" s="1"/>
      <c r="D45" s="136">
        <f>+'Tabel 2021 52 weken incl. 27,5 '!D45</f>
        <v>0.89700000000000002</v>
      </c>
      <c r="E45" s="134"/>
      <c r="F45" s="95">
        <f t="shared" si="0"/>
        <v>2.1515100000000005</v>
      </c>
      <c r="G45" s="94"/>
      <c r="H45" s="95">
        <f t="shared" si="1"/>
        <v>2.1930600000000005</v>
      </c>
      <c r="I45" s="1"/>
      <c r="J45" s="137">
        <f>+'Tabel 2021 52 weken incl. 27,5 '!J45</f>
        <v>0.94599999999999995</v>
      </c>
      <c r="K45" s="135"/>
      <c r="L45" s="97">
        <f t="shared" si="2"/>
        <v>1.7511800000000008</v>
      </c>
      <c r="M45" s="96"/>
      <c r="N45" s="97">
        <f t="shared" si="3"/>
        <v>1.8490800000000009</v>
      </c>
      <c r="R45" t="s">
        <v>220</v>
      </c>
      <c r="S45" t="s">
        <v>220</v>
      </c>
      <c r="T45" t="s">
        <v>220</v>
      </c>
      <c r="U45" t="s">
        <v>221</v>
      </c>
      <c r="V45" t="s">
        <v>82</v>
      </c>
    </row>
    <row r="46" spans="1:24" ht="15" x14ac:dyDescent="0.2">
      <c r="A46" s="191">
        <f>+'Tabel 2021 52 weken incl. 27,5 '!A46</f>
        <v>37032</v>
      </c>
      <c r="B46" s="191">
        <f>+'Tabel 2021 52 weken incl. 27,5 '!B46</f>
        <v>38484</v>
      </c>
      <c r="C46" s="1"/>
      <c r="D46" s="136">
        <f>+'Tabel 2021 52 weken incl. 27,5 '!D46</f>
        <v>0.88900000000000001</v>
      </c>
      <c r="E46" s="134"/>
      <c r="F46" s="95">
        <f t="shared" si="0"/>
        <v>2.2168700000000001</v>
      </c>
      <c r="G46" s="94"/>
      <c r="H46" s="95">
        <f t="shared" si="1"/>
        <v>2.2492200000000007</v>
      </c>
      <c r="I46" s="1"/>
      <c r="J46" s="137">
        <f>+'Tabel 2021 52 weken incl. 27,5 '!J46</f>
        <v>0.94599999999999995</v>
      </c>
      <c r="K46" s="135"/>
      <c r="L46" s="97">
        <f t="shared" si="2"/>
        <v>1.7511800000000008</v>
      </c>
      <c r="M46" s="96"/>
      <c r="N46" s="97">
        <f t="shared" si="3"/>
        <v>1.8490800000000009</v>
      </c>
      <c r="Q46">
        <f>26</f>
        <v>26</v>
      </c>
      <c r="R46">
        <f>Q46*3*2</f>
        <v>156</v>
      </c>
      <c r="S46">
        <f>4*7.5*2</f>
        <v>60</v>
      </c>
      <c r="T46">
        <f>R46+S46</f>
        <v>216</v>
      </c>
      <c r="U46">
        <f>T46*6.28</f>
        <v>1356.48</v>
      </c>
      <c r="V46" s="99">
        <f>T46*5.93*(100%-D46)+((6.28-5.93)*T46)</f>
        <v>217.77768000000009</v>
      </c>
      <c r="W46" s="259">
        <v>0.5</v>
      </c>
      <c r="X46" t="s">
        <v>222</v>
      </c>
    </row>
    <row r="47" spans="1:24" ht="15" x14ac:dyDescent="0.2">
      <c r="A47" s="191">
        <f>+'Tabel 2021 52 weken incl. 27,5 '!A47</f>
        <v>38485</v>
      </c>
      <c r="B47" s="191">
        <f>+'Tabel 2021 52 weken incl. 27,5 '!B47</f>
        <v>39972</v>
      </c>
      <c r="C47" s="1"/>
      <c r="D47" s="136">
        <f>+'Tabel 2021 52 weken incl. 27,5 '!D47</f>
        <v>0.88300000000000001</v>
      </c>
      <c r="E47" s="134"/>
      <c r="F47" s="95">
        <f t="shared" si="0"/>
        <v>2.2658900000000006</v>
      </c>
      <c r="G47" s="94"/>
      <c r="H47" s="95">
        <f t="shared" si="1"/>
        <v>2.2913400000000004</v>
      </c>
      <c r="I47" s="1"/>
      <c r="J47" s="137">
        <f>+'Tabel 2021 52 weken incl. 27,5 '!J47</f>
        <v>0.94599999999999995</v>
      </c>
      <c r="K47" s="135"/>
      <c r="L47" s="97">
        <f t="shared" si="2"/>
        <v>1.7511800000000008</v>
      </c>
      <c r="M47" s="96"/>
      <c r="N47" s="97">
        <f t="shared" si="3"/>
        <v>1.8490800000000009</v>
      </c>
      <c r="V47" s="99">
        <f>T46*5.93*(100%-D46)+((W47-5.93)*T46)</f>
        <v>325.77768000000009</v>
      </c>
      <c r="W47">
        <f>6.28+W46</f>
        <v>6.78</v>
      </c>
    </row>
    <row r="48" spans="1:24" ht="15" x14ac:dyDescent="0.2">
      <c r="A48" s="191">
        <f>+'Tabel 2021 52 weken incl. 27,5 '!A48</f>
        <v>39973</v>
      </c>
      <c r="B48" s="191">
        <f>+'Tabel 2021 52 weken incl. 27,5 '!B48</f>
        <v>41463</v>
      </c>
      <c r="C48" s="1"/>
      <c r="D48" s="136">
        <f>+'Tabel 2021 52 weken incl. 27,5 '!D48</f>
        <v>0.875</v>
      </c>
      <c r="E48" s="134"/>
      <c r="F48" s="95">
        <f t="shared" si="0"/>
        <v>2.3312500000000007</v>
      </c>
      <c r="G48" s="94"/>
      <c r="H48" s="95">
        <f t="shared" si="1"/>
        <v>2.3475000000000006</v>
      </c>
      <c r="I48" s="1"/>
      <c r="J48" s="137">
        <f>+'Tabel 2021 52 weken incl. 27,5 '!J48</f>
        <v>0.94599999999999995</v>
      </c>
      <c r="K48" s="135"/>
      <c r="L48" s="97">
        <f t="shared" si="2"/>
        <v>1.7511800000000008</v>
      </c>
      <c r="M48" s="96"/>
      <c r="N48" s="97">
        <f t="shared" si="3"/>
        <v>1.8490800000000009</v>
      </c>
      <c r="T48">
        <f>1350/5/2*2</f>
        <v>270</v>
      </c>
      <c r="U48">
        <f>T48*6.28</f>
        <v>1695.6000000000001</v>
      </c>
      <c r="V48" s="99">
        <f>T48*5.93*(100%-D46)+((6.28-5.93)*T48)</f>
        <v>272.22210000000013</v>
      </c>
    </row>
    <row r="49" spans="1:16" ht="15" x14ac:dyDescent="0.2">
      <c r="A49" s="191">
        <f>+'Tabel 2021 52 weken incl. 27,5 '!A49</f>
        <v>41464</v>
      </c>
      <c r="B49" s="191">
        <f>+'Tabel 2021 52 weken incl. 27,5 '!B49</f>
        <v>42953</v>
      </c>
      <c r="C49" s="1"/>
      <c r="D49" s="136">
        <f>+'Tabel 2021 52 weken incl. 27,5 '!D49</f>
        <v>0.86799999999999999</v>
      </c>
      <c r="E49" s="134"/>
      <c r="F49" s="95">
        <f t="shared" si="0"/>
        <v>2.3884400000000006</v>
      </c>
      <c r="G49" s="94"/>
      <c r="H49" s="95">
        <f t="shared" si="1"/>
        <v>2.3966400000000005</v>
      </c>
      <c r="I49" s="1"/>
      <c r="J49" s="137">
        <f>+'Tabel 2021 52 weken incl. 27,5 '!J49</f>
        <v>0.94599999999999995</v>
      </c>
      <c r="K49" s="135"/>
      <c r="L49" s="97">
        <f t="shared" si="2"/>
        <v>1.7511800000000008</v>
      </c>
      <c r="M49" s="96"/>
      <c r="N49" s="97">
        <f t="shared" si="3"/>
        <v>1.8490800000000009</v>
      </c>
    </row>
    <row r="50" spans="1:16" ht="15" x14ac:dyDescent="0.2">
      <c r="A50" s="191">
        <f>+'Tabel 2021 52 weken incl. 27,5 '!A50</f>
        <v>42954</v>
      </c>
      <c r="B50" s="191">
        <f>+'Tabel 2021 52 weken incl. 27,5 '!B50</f>
        <v>44443</v>
      </c>
      <c r="C50" s="1"/>
      <c r="D50" s="136">
        <f>+'Tabel 2021 52 weken incl. 27,5 '!D50</f>
        <v>0.86099999999999999</v>
      </c>
      <c r="E50" s="134"/>
      <c r="F50" s="95">
        <f t="shared" si="0"/>
        <v>2.4456300000000004</v>
      </c>
      <c r="G50" s="94"/>
      <c r="H50" s="95">
        <f t="shared" si="1"/>
        <v>2.4457800000000005</v>
      </c>
      <c r="I50" s="1"/>
      <c r="J50" s="137">
        <f>+'Tabel 2021 52 weken incl. 27,5 '!J50</f>
        <v>0.94599999999999995</v>
      </c>
      <c r="K50" s="135"/>
      <c r="L50" s="97">
        <f t="shared" si="2"/>
        <v>1.7511800000000008</v>
      </c>
      <c r="M50" s="96"/>
      <c r="N50" s="97">
        <f t="shared" si="3"/>
        <v>1.8490800000000009</v>
      </c>
    </row>
    <row r="51" spans="1:16" ht="15" x14ac:dyDescent="0.2">
      <c r="A51" s="191">
        <f>+'Tabel 2021 52 weken incl. 27,5 '!A51</f>
        <v>44444</v>
      </c>
      <c r="B51" s="191">
        <f>+'Tabel 2021 52 weken incl. 27,5 '!B51</f>
        <v>45936</v>
      </c>
      <c r="C51" s="1"/>
      <c r="D51" s="136">
        <f>+'Tabel 2021 52 weken incl. 27,5 '!D51</f>
        <v>0.85199999999999998</v>
      </c>
      <c r="E51" s="134"/>
      <c r="F51" s="95">
        <f t="shared" si="0"/>
        <v>2.5191600000000007</v>
      </c>
      <c r="G51" s="94"/>
      <c r="H51" s="95">
        <f t="shared" si="1"/>
        <v>2.508960000000001</v>
      </c>
      <c r="I51" s="1"/>
      <c r="J51" s="137">
        <f>+'Tabel 2021 52 weken incl. 27,5 '!J51</f>
        <v>0.94599999999999995</v>
      </c>
      <c r="K51" s="135"/>
      <c r="L51" s="97">
        <f t="shared" si="2"/>
        <v>1.7511800000000008</v>
      </c>
      <c r="M51" s="96"/>
      <c r="N51" s="97">
        <f t="shared" si="3"/>
        <v>1.8490800000000009</v>
      </c>
    </row>
    <row r="52" spans="1:16" ht="15" x14ac:dyDescent="0.2">
      <c r="A52" s="191">
        <f>+'Tabel 2021 52 weken incl. 27,5 '!A52</f>
        <v>45937</v>
      </c>
      <c r="B52" s="191">
        <f>+'Tabel 2021 52 weken incl. 27,5 '!B52</f>
        <v>47427</v>
      </c>
      <c r="C52" s="1"/>
      <c r="D52" s="136">
        <f>+'Tabel 2021 52 weken incl. 27,5 '!D52</f>
        <v>0.84699999999999998</v>
      </c>
      <c r="E52" s="134"/>
      <c r="F52" s="95">
        <f t="shared" si="0"/>
        <v>2.560010000000001</v>
      </c>
      <c r="G52" s="94"/>
      <c r="H52" s="95">
        <f t="shared" si="1"/>
        <v>2.5440600000000009</v>
      </c>
      <c r="I52" s="1"/>
      <c r="J52" s="137">
        <f>+'Tabel 2021 52 weken incl. 27,5 '!J52</f>
        <v>0.94599999999999995</v>
      </c>
      <c r="K52" s="135"/>
      <c r="L52" s="97">
        <f t="shared" si="2"/>
        <v>1.7511800000000008</v>
      </c>
      <c r="M52" s="96"/>
      <c r="N52" s="97">
        <f t="shared" si="3"/>
        <v>1.8490800000000009</v>
      </c>
    </row>
    <row r="53" spans="1:16" ht="15" x14ac:dyDescent="0.2">
      <c r="A53" s="191">
        <f>+'Tabel 2021 52 weken incl. 27,5 '!A53</f>
        <v>47428</v>
      </c>
      <c r="B53" s="191">
        <f>+'Tabel 2021 52 weken incl. 27,5 '!B53</f>
        <v>48916</v>
      </c>
      <c r="C53" s="1"/>
      <c r="D53" s="136">
        <f>+'Tabel 2021 52 weken incl. 27,5 '!D53</f>
        <v>0.83899999999999997</v>
      </c>
      <c r="E53" s="134"/>
      <c r="F53" s="95">
        <f t="shared" si="0"/>
        <v>2.6253700000000006</v>
      </c>
      <c r="G53" s="94"/>
      <c r="H53" s="95">
        <f t="shared" si="1"/>
        <v>2.6002200000000011</v>
      </c>
      <c r="I53" s="1"/>
      <c r="J53" s="137">
        <f>+'Tabel 2021 52 weken incl. 27,5 '!J53</f>
        <v>0.94599999999999995</v>
      </c>
      <c r="K53" s="135"/>
      <c r="L53" s="97">
        <f t="shared" si="2"/>
        <v>1.7511800000000008</v>
      </c>
      <c r="M53" s="96"/>
      <c r="N53" s="97">
        <f t="shared" si="3"/>
        <v>1.8490800000000009</v>
      </c>
    </row>
    <row r="54" spans="1:16" ht="15" x14ac:dyDescent="0.2">
      <c r="A54" s="191">
        <f>+'Tabel 2021 52 weken incl. 27,5 '!A54</f>
        <v>48917</v>
      </c>
      <c r="B54" s="191">
        <f>+'Tabel 2021 52 weken incl. 27,5 '!B54</f>
        <v>50407</v>
      </c>
      <c r="C54" s="1"/>
      <c r="D54" s="136">
        <f>+'Tabel 2021 52 weken incl. 27,5 '!D54</f>
        <v>0.83299999999999996</v>
      </c>
      <c r="E54" s="134"/>
      <c r="F54" s="95">
        <f t="shared" si="0"/>
        <v>2.6743900000000007</v>
      </c>
      <c r="G54" s="94"/>
      <c r="H54" s="95">
        <f t="shared" si="1"/>
        <v>2.6423400000000008</v>
      </c>
      <c r="I54" s="1"/>
      <c r="J54" s="137">
        <f>+'Tabel 2021 52 weken incl. 27,5 '!J54</f>
        <v>0.94599999999999995</v>
      </c>
      <c r="K54" s="135"/>
      <c r="L54" s="97">
        <f t="shared" si="2"/>
        <v>1.7511800000000008</v>
      </c>
      <c r="M54" s="96"/>
      <c r="N54" s="97">
        <f t="shared" si="3"/>
        <v>1.8490800000000009</v>
      </c>
    </row>
    <row r="55" spans="1:16" ht="15" x14ac:dyDescent="0.2">
      <c r="A55" s="191">
        <f>+'Tabel 2021 52 weken incl. 27,5 '!A55</f>
        <v>50408</v>
      </c>
      <c r="B55" s="191">
        <f>+'Tabel 2021 52 weken incl. 27,5 '!B55</f>
        <v>52036</v>
      </c>
      <c r="C55" s="1"/>
      <c r="D55" s="136">
        <f>+'Tabel 2021 52 weken incl. 27,5 '!D55</f>
        <v>0.82399999999999995</v>
      </c>
      <c r="E55" s="134"/>
      <c r="F55" s="95">
        <f t="shared" si="0"/>
        <v>2.7479200000000006</v>
      </c>
      <c r="G55" s="94"/>
      <c r="H55" s="95">
        <f t="shared" si="1"/>
        <v>2.7055200000000008</v>
      </c>
      <c r="I55" s="1"/>
      <c r="J55" s="137">
        <f>+'Tabel 2021 52 weken incl. 27,5 '!J55</f>
        <v>0.94599999999999995</v>
      </c>
      <c r="K55" s="135"/>
      <c r="L55" s="97">
        <f t="shared" si="2"/>
        <v>1.7511800000000008</v>
      </c>
      <c r="M55" s="96"/>
      <c r="N55" s="97">
        <f t="shared" si="3"/>
        <v>1.8490800000000009</v>
      </c>
    </row>
    <row r="56" spans="1:16" ht="15" x14ac:dyDescent="0.2">
      <c r="A56" s="191">
        <f>+'Tabel 2021 52 weken incl. 27,5 '!A56</f>
        <v>52037</v>
      </c>
      <c r="B56" s="191">
        <f>+'Tabel 2021 52 weken incl. 27,5 '!B56</f>
        <v>55230</v>
      </c>
      <c r="C56" s="1"/>
      <c r="D56" s="136">
        <f>+'Tabel 2021 52 weken incl. 27,5 '!D56</f>
        <v>0.80900000000000005</v>
      </c>
      <c r="E56" s="134"/>
      <c r="F56" s="95">
        <f t="shared" si="0"/>
        <v>2.8704700000000001</v>
      </c>
      <c r="G56" s="94"/>
      <c r="H56" s="95">
        <f t="shared" si="1"/>
        <v>2.8108200000000001</v>
      </c>
      <c r="I56" s="1"/>
      <c r="J56" s="137">
        <f>+'Tabel 2021 52 weken incl. 27,5 '!J56</f>
        <v>0.94599999999999995</v>
      </c>
      <c r="K56" s="135"/>
      <c r="L56" s="97">
        <f t="shared" si="2"/>
        <v>1.7511800000000008</v>
      </c>
      <c r="M56" s="96"/>
      <c r="N56" s="97">
        <f t="shared" si="3"/>
        <v>1.8490800000000009</v>
      </c>
    </row>
    <row r="57" spans="1:16" ht="15" x14ac:dyDescent="0.2">
      <c r="A57" s="191">
        <f>+'Tabel 2021 52 weken incl. 27,5 '!A57</f>
        <v>55231</v>
      </c>
      <c r="B57" s="191">
        <f>+'Tabel 2021 52 weken incl. 27,5 '!B57</f>
        <v>58423</v>
      </c>
      <c r="C57" s="1"/>
      <c r="D57" s="136">
        <f>+'Tabel 2021 52 weken incl. 27,5 '!D57</f>
        <v>0.80100000000000005</v>
      </c>
      <c r="E57" s="134"/>
      <c r="F57" s="95">
        <f t="shared" si="0"/>
        <v>2.9358300000000002</v>
      </c>
      <c r="G57" s="94"/>
      <c r="H57" s="95">
        <f t="shared" si="1"/>
        <v>2.8669800000000003</v>
      </c>
      <c r="I57" s="1"/>
      <c r="J57" s="137">
        <f>+'Tabel 2021 52 weken incl. 27,5 '!J57</f>
        <v>0.94199999999999995</v>
      </c>
      <c r="K57" s="135"/>
      <c r="L57" s="97">
        <f t="shared" si="2"/>
        <v>1.7838600000000009</v>
      </c>
      <c r="M57" s="96"/>
      <c r="N57" s="97">
        <f t="shared" si="3"/>
        <v>1.877160000000001</v>
      </c>
    </row>
    <row r="58" spans="1:16" ht="15" x14ac:dyDescent="0.2">
      <c r="A58" s="191">
        <f>+'Tabel 2021 52 weken incl. 27,5 '!A58</f>
        <v>58424</v>
      </c>
      <c r="B58" s="191">
        <f>+'Tabel 2021 52 weken incl. 27,5 '!B58</f>
        <v>61618</v>
      </c>
      <c r="C58" s="1"/>
      <c r="D58" s="136">
        <f>+'Tabel 2021 52 weken incl. 27,5 '!D58</f>
        <v>0.79</v>
      </c>
      <c r="E58" s="134"/>
      <c r="F58" s="95">
        <f t="shared" si="0"/>
        <v>3.0257000000000005</v>
      </c>
      <c r="G58" s="94"/>
      <c r="H58" s="95">
        <f t="shared" si="1"/>
        <v>2.9442000000000004</v>
      </c>
      <c r="I58" s="1"/>
      <c r="J58" s="137">
        <f>+'Tabel 2021 52 weken incl. 27,5 '!J58</f>
        <v>0.93600000000000005</v>
      </c>
      <c r="K58" s="135"/>
      <c r="L58" s="97">
        <f t="shared" si="2"/>
        <v>1.8328800000000001</v>
      </c>
      <c r="M58" s="96"/>
      <c r="N58" s="97">
        <f t="shared" si="3"/>
        <v>1.9192800000000001</v>
      </c>
    </row>
    <row r="59" spans="1:16" ht="15" x14ac:dyDescent="0.2">
      <c r="A59" s="191">
        <f>+'Tabel 2021 52 weken incl. 27,5 '!A59</f>
        <v>61619</v>
      </c>
      <c r="B59" s="191">
        <f>+'Tabel 2021 52 weken incl. 27,5 '!B59</f>
        <v>64813</v>
      </c>
      <c r="C59" s="1"/>
      <c r="D59" s="136">
        <f>+'Tabel 2021 52 weken incl. 27,5 '!D59</f>
        <v>0.76800000000000002</v>
      </c>
      <c r="E59" s="134"/>
      <c r="F59" s="95">
        <f t="shared" si="0"/>
        <v>3.2054400000000003</v>
      </c>
      <c r="G59" s="94"/>
      <c r="H59" s="95">
        <f t="shared" si="1"/>
        <v>3.0986400000000005</v>
      </c>
      <c r="I59" s="1"/>
      <c r="J59" s="137">
        <f>+'Tabel 2021 52 weken incl. 27,5 '!J59</f>
        <v>0.93200000000000005</v>
      </c>
      <c r="K59" s="135"/>
      <c r="L59" s="97">
        <f t="shared" si="2"/>
        <v>1.8655600000000001</v>
      </c>
      <c r="M59" s="96"/>
      <c r="N59" s="97">
        <f t="shared" si="3"/>
        <v>1.9473600000000002</v>
      </c>
    </row>
    <row r="60" spans="1:16" ht="15" x14ac:dyDescent="0.2">
      <c r="A60" s="191">
        <f>+'Tabel 2021 52 weken incl. 27,5 '!A60</f>
        <v>64814</v>
      </c>
      <c r="B60" s="191">
        <f>+'Tabel 2021 52 weken incl. 27,5 '!B60</f>
        <v>68006</v>
      </c>
      <c r="C60" s="1"/>
      <c r="D60" s="136">
        <f>+'Tabel 2021 52 weken incl. 27,5 '!D60</f>
        <v>0.745</v>
      </c>
      <c r="E60" s="134"/>
      <c r="F60" s="95">
        <f t="shared" si="0"/>
        <v>3.3933500000000003</v>
      </c>
      <c r="G60" s="94"/>
      <c r="H60" s="95">
        <f t="shared" si="1"/>
        <v>3.2601000000000004</v>
      </c>
      <c r="I60" s="1"/>
      <c r="J60" s="137">
        <f>+'Tabel 2021 52 weken incl. 27,5 '!J60</f>
        <v>0.92900000000000005</v>
      </c>
      <c r="K60" s="135"/>
      <c r="L60" s="97">
        <f t="shared" si="2"/>
        <v>1.8900700000000001</v>
      </c>
      <c r="M60" s="96"/>
      <c r="N60" s="97">
        <f t="shared" si="3"/>
        <v>1.9684200000000003</v>
      </c>
    </row>
    <row r="61" spans="1:16" ht="15" x14ac:dyDescent="0.2">
      <c r="A61" s="191">
        <f>+'Tabel 2021 52 weken incl. 27,5 '!A61</f>
        <v>68007</v>
      </c>
      <c r="B61" s="191">
        <f>+'Tabel 2021 52 weken incl. 27,5 '!B61</f>
        <v>71202</v>
      </c>
      <c r="C61" s="1"/>
      <c r="D61" s="136">
        <f>+'Tabel 2021 52 weken incl. 27,5 '!D61</f>
        <v>0.72299999999999998</v>
      </c>
      <c r="E61" s="134"/>
      <c r="F61" s="95">
        <f t="shared" si="0"/>
        <v>3.5730900000000005</v>
      </c>
      <c r="G61" s="94"/>
      <c r="H61" s="95">
        <f t="shared" si="1"/>
        <v>3.4145400000000006</v>
      </c>
      <c r="I61" s="1"/>
      <c r="J61" s="137">
        <f>+'Tabel 2021 52 weken incl. 27,5 '!J61</f>
        <v>0.92200000000000004</v>
      </c>
      <c r="K61" s="135"/>
      <c r="L61" s="97">
        <f t="shared" si="2"/>
        <v>1.94726</v>
      </c>
      <c r="M61" s="96"/>
      <c r="N61" s="97">
        <f t="shared" si="3"/>
        <v>2.0175600000000005</v>
      </c>
    </row>
    <row r="62" spans="1:16" ht="15" x14ac:dyDescent="0.2">
      <c r="A62" s="191">
        <f>+'Tabel 2021 52 weken incl. 27,5 '!A62</f>
        <v>71203</v>
      </c>
      <c r="B62" s="191">
        <f>+'Tabel 2021 52 weken incl. 27,5 '!B62</f>
        <v>74396</v>
      </c>
      <c r="C62" s="1"/>
      <c r="D62" s="136">
        <f>+'Tabel 2021 52 weken incl. 27,5 '!D62</f>
        <v>0.69899999999999995</v>
      </c>
      <c r="E62" s="134"/>
      <c r="F62" s="95">
        <f t="shared" si="0"/>
        <v>3.7691700000000008</v>
      </c>
      <c r="G62" s="94"/>
      <c r="H62" s="95">
        <f t="shared" si="1"/>
        <v>3.5830200000000008</v>
      </c>
      <c r="I62" s="1"/>
      <c r="J62" s="137">
        <f>+'Tabel 2021 52 weken incl. 27,5 '!J62</f>
        <v>0.91700000000000004</v>
      </c>
      <c r="K62" s="135"/>
      <c r="L62" s="97">
        <f t="shared" si="2"/>
        <v>1.9881100000000003</v>
      </c>
      <c r="M62" s="96"/>
      <c r="N62" s="97">
        <f t="shared" si="3"/>
        <v>2.0526600000000004</v>
      </c>
    </row>
    <row r="63" spans="1:16" ht="15" x14ac:dyDescent="0.2">
      <c r="A63" s="191">
        <f>+'Tabel 2021 52 weken incl. 27,5 '!A63</f>
        <v>74397</v>
      </c>
      <c r="B63" s="191">
        <f>+'Tabel 2021 52 weken incl. 27,5 '!B63</f>
        <v>77590</v>
      </c>
      <c r="C63" s="1"/>
      <c r="D63" s="136">
        <f>+'Tabel 2021 52 weken incl. 27,5 '!D63</f>
        <v>0.67600000000000005</v>
      </c>
      <c r="E63" s="134"/>
      <c r="F63" s="95">
        <f t="shared" si="0"/>
        <v>3.9570799999999999</v>
      </c>
      <c r="G63" s="94"/>
      <c r="H63" s="95">
        <f t="shared" si="1"/>
        <v>3.7444800000000003</v>
      </c>
      <c r="I63" s="1"/>
      <c r="J63" s="137">
        <f>+'Tabel 2021 52 weken incl. 27,5 '!J63</f>
        <v>0.91200000000000003</v>
      </c>
      <c r="K63" s="135"/>
      <c r="L63" s="97">
        <f t="shared" si="2"/>
        <v>2.0289600000000001</v>
      </c>
      <c r="M63" s="96"/>
      <c r="N63" s="97">
        <f t="shared" si="3"/>
        <v>2.0877600000000003</v>
      </c>
      <c r="P63" s="98"/>
    </row>
    <row r="64" spans="1:16" ht="15" x14ac:dyDescent="0.2">
      <c r="A64" s="191">
        <f>+'Tabel 2021 52 weken incl. 27,5 '!A64</f>
        <v>77591</v>
      </c>
      <c r="B64" s="191">
        <f>+'Tabel 2021 52 weken incl. 27,5 '!B64</f>
        <v>80786</v>
      </c>
      <c r="C64" s="1"/>
      <c r="D64" s="136">
        <f>+'Tabel 2021 52 weken incl. 27,5 '!D64</f>
        <v>0.65400000000000003</v>
      </c>
      <c r="E64" s="134"/>
      <c r="F64" s="95">
        <f t="shared" si="0"/>
        <v>4.1368200000000002</v>
      </c>
      <c r="G64" s="94"/>
      <c r="H64" s="95">
        <f t="shared" si="1"/>
        <v>3.8989200000000004</v>
      </c>
      <c r="I64" s="1"/>
      <c r="J64" s="137">
        <f>+'Tabel 2021 52 weken incl. 27,5 '!J64</f>
        <v>0.90500000000000003</v>
      </c>
      <c r="K64" s="135"/>
      <c r="L64" s="97">
        <f t="shared" si="2"/>
        <v>2.0861500000000004</v>
      </c>
      <c r="M64" s="96"/>
      <c r="N64" s="97">
        <f t="shared" si="3"/>
        <v>2.1369000000000007</v>
      </c>
    </row>
    <row r="65" spans="1:16" ht="15" x14ac:dyDescent="0.2">
      <c r="A65" s="191">
        <f>+'Tabel 2021 52 weken incl. 27,5 '!A65</f>
        <v>80787</v>
      </c>
      <c r="B65" s="191">
        <f>+'Tabel 2021 52 weken incl. 27,5 '!B65</f>
        <v>83979</v>
      </c>
      <c r="C65" s="1"/>
      <c r="D65" s="136">
        <f>+'Tabel 2021 52 weken incl. 27,5 '!D65</f>
        <v>0.63100000000000001</v>
      </c>
      <c r="E65" s="134"/>
      <c r="F65" s="95">
        <f t="shared" si="0"/>
        <v>4.3247300000000006</v>
      </c>
      <c r="G65" s="94"/>
      <c r="H65" s="95">
        <f t="shared" si="1"/>
        <v>4.0603800000000003</v>
      </c>
      <c r="I65" s="1"/>
      <c r="J65" s="137">
        <f>+'Tabel 2021 52 weken incl. 27,5 '!J65</f>
        <v>0.9</v>
      </c>
      <c r="K65" s="135"/>
      <c r="L65" s="97">
        <f t="shared" si="2"/>
        <v>2.1270000000000002</v>
      </c>
      <c r="M65" s="96"/>
      <c r="N65" s="97">
        <f t="shared" si="3"/>
        <v>2.1720000000000006</v>
      </c>
    </row>
    <row r="66" spans="1:16" ht="15" x14ac:dyDescent="0.2">
      <c r="A66" s="191">
        <f>+'Tabel 2021 52 weken incl. 27,5 '!A66</f>
        <v>83980</v>
      </c>
      <c r="B66" s="191">
        <f>+'Tabel 2021 52 weken incl. 27,5 '!B66</f>
        <v>87176</v>
      </c>
      <c r="C66" s="1"/>
      <c r="D66" s="136">
        <f>+'Tabel 2021 52 weken incl. 27,5 '!D66</f>
        <v>0.60899999999999999</v>
      </c>
      <c r="E66" s="134"/>
      <c r="F66" s="95">
        <f t="shared" si="0"/>
        <v>4.5044700000000004</v>
      </c>
      <c r="G66" s="94"/>
      <c r="H66" s="95">
        <f t="shared" si="1"/>
        <v>4.2148200000000005</v>
      </c>
      <c r="I66" s="1"/>
      <c r="J66" s="137">
        <f>+'Tabel 2021 52 weken incl. 27,5 '!J66</f>
        <v>0.89600000000000002</v>
      </c>
      <c r="K66" s="135"/>
      <c r="L66" s="97">
        <f t="shared" si="2"/>
        <v>2.1596800000000003</v>
      </c>
      <c r="M66" s="96"/>
      <c r="N66" s="97">
        <f t="shared" si="3"/>
        <v>2.2000800000000007</v>
      </c>
    </row>
    <row r="67" spans="1:16" ht="15" x14ac:dyDescent="0.2">
      <c r="A67" s="191">
        <f>+'Tabel 2021 52 weken incl. 27,5 '!A67</f>
        <v>87177</v>
      </c>
      <c r="B67" s="191">
        <f>+'Tabel 2021 52 weken incl. 27,5 '!B67</f>
        <v>90370</v>
      </c>
      <c r="C67" s="1"/>
      <c r="D67" s="136">
        <f>+'Tabel 2021 52 weken incl. 27,5 '!D67</f>
        <v>0.58399999999999996</v>
      </c>
      <c r="E67" s="134"/>
      <c r="F67" s="95">
        <f t="shared" si="0"/>
        <v>4.7087200000000013</v>
      </c>
      <c r="G67" s="94"/>
      <c r="H67" s="95">
        <f t="shared" si="1"/>
        <v>4.3903200000000009</v>
      </c>
      <c r="I67" s="1"/>
      <c r="J67" s="137">
        <f>+'Tabel 2021 52 weken incl. 27,5 '!J67</f>
        <v>0.89300000000000002</v>
      </c>
      <c r="K67" s="135"/>
      <c r="L67" s="97">
        <f t="shared" si="2"/>
        <v>2.1841900000000005</v>
      </c>
      <c r="M67" s="96"/>
      <c r="N67" s="97">
        <f t="shared" si="3"/>
        <v>2.2211400000000006</v>
      </c>
    </row>
    <row r="68" spans="1:16" ht="15" x14ac:dyDescent="0.2">
      <c r="A68" s="191">
        <f>+'Tabel 2021 52 weken incl. 27,5 '!A68</f>
        <v>90371</v>
      </c>
      <c r="B68" s="191">
        <f>+'Tabel 2021 52 weken incl. 27,5 '!B68</f>
        <v>93562</v>
      </c>
      <c r="C68" s="1"/>
      <c r="D68" s="136">
        <f>+'Tabel 2021 52 weken incl. 27,5 '!D68</f>
        <v>0.56200000000000006</v>
      </c>
      <c r="E68" s="134"/>
      <c r="F68" s="95">
        <f t="shared" si="0"/>
        <v>4.8884600000000002</v>
      </c>
      <c r="G68" s="94"/>
      <c r="H68" s="95">
        <f t="shared" si="1"/>
        <v>4.5447600000000001</v>
      </c>
      <c r="I68" s="1"/>
      <c r="J68" s="137">
        <f>+'Tabel 2021 52 weken incl. 27,5 '!J68</f>
        <v>0.88600000000000001</v>
      </c>
      <c r="K68" s="135"/>
      <c r="L68" s="97">
        <f t="shared" si="2"/>
        <v>2.2413800000000004</v>
      </c>
      <c r="M68" s="96"/>
      <c r="N68" s="97">
        <f t="shared" si="3"/>
        <v>2.2702800000000005</v>
      </c>
    </row>
    <row r="69" spans="1:16" ht="15" x14ac:dyDescent="0.2">
      <c r="A69" s="191">
        <f>+'Tabel 2021 52 weken incl. 27,5 '!A69</f>
        <v>93563</v>
      </c>
      <c r="B69" s="191">
        <f>+'Tabel 2021 52 weken incl. 27,5 '!B69</f>
        <v>96757</v>
      </c>
      <c r="C69" s="1"/>
      <c r="D69" s="136">
        <f>+'Tabel 2021 52 weken incl. 27,5 '!D69</f>
        <v>0.54</v>
      </c>
      <c r="E69" s="134"/>
      <c r="F69" s="95">
        <f t="shared" si="0"/>
        <v>5.0682</v>
      </c>
      <c r="G69" s="94"/>
      <c r="H69" s="95">
        <f t="shared" si="1"/>
        <v>4.6992000000000003</v>
      </c>
      <c r="I69" s="1"/>
      <c r="J69" s="137">
        <f>+'Tabel 2021 52 weken incl. 27,5 '!J69</f>
        <v>0.88200000000000001</v>
      </c>
      <c r="K69" s="135"/>
      <c r="L69" s="97">
        <f t="shared" si="2"/>
        <v>2.2740600000000004</v>
      </c>
      <c r="M69" s="96"/>
      <c r="N69" s="97">
        <f t="shared" si="3"/>
        <v>2.2983600000000006</v>
      </c>
    </row>
    <row r="70" spans="1:16" ht="15" x14ac:dyDescent="0.2">
      <c r="A70" s="191">
        <f>+'Tabel 2021 52 weken incl. 27,5 '!A70</f>
        <v>96758</v>
      </c>
      <c r="B70" s="191">
        <f>+'Tabel 2021 52 weken incl. 27,5 '!B70</f>
        <v>100015</v>
      </c>
      <c r="C70" s="1"/>
      <c r="D70" s="136">
        <f>+'Tabel 2021 52 weken incl. 27,5 '!D70</f>
        <v>0.51600000000000001</v>
      </c>
      <c r="E70" s="134"/>
      <c r="F70" s="95">
        <f t="shared" si="0"/>
        <v>5.2642800000000003</v>
      </c>
      <c r="G70" s="94"/>
      <c r="H70" s="95">
        <f t="shared" si="1"/>
        <v>4.86768</v>
      </c>
      <c r="I70" s="1"/>
      <c r="J70" s="137">
        <f>+'Tabel 2021 52 weken incl. 27,5 '!J70</f>
        <v>0.877</v>
      </c>
      <c r="K70" s="135"/>
      <c r="L70" s="97">
        <f t="shared" si="2"/>
        <v>2.3149100000000002</v>
      </c>
      <c r="M70" s="96"/>
      <c r="N70" s="97">
        <f t="shared" si="3"/>
        <v>2.3334600000000005</v>
      </c>
    </row>
    <row r="71" spans="1:16" ht="15" x14ac:dyDescent="0.2">
      <c r="A71" s="191">
        <f>+'Tabel 2021 52 weken incl. 27,5 '!A71</f>
        <v>100016</v>
      </c>
      <c r="B71" s="191">
        <f>+'Tabel 2021 52 weken incl. 27,5 '!B71</f>
        <v>103287</v>
      </c>
      <c r="C71" s="1"/>
      <c r="D71" s="136">
        <f>+'Tabel 2021 52 weken incl. 27,5 '!D71</f>
        <v>0.496</v>
      </c>
      <c r="E71" s="134"/>
      <c r="F71" s="95">
        <f t="shared" si="0"/>
        <v>5.4276800000000005</v>
      </c>
      <c r="G71" s="94"/>
      <c r="H71" s="95">
        <f t="shared" si="1"/>
        <v>5.0080800000000005</v>
      </c>
      <c r="I71" s="1"/>
      <c r="J71" s="137">
        <f>+'Tabel 2021 52 weken incl. 27,5 '!J71</f>
        <v>0.87</v>
      </c>
      <c r="K71" s="135"/>
      <c r="L71" s="97">
        <f t="shared" si="2"/>
        <v>2.3721000000000005</v>
      </c>
      <c r="M71" s="96"/>
      <c r="N71" s="97">
        <f t="shared" si="3"/>
        <v>2.3826000000000005</v>
      </c>
    </row>
    <row r="72" spans="1:16" ht="15" x14ac:dyDescent="0.2">
      <c r="A72" s="191">
        <f>+'Tabel 2021 52 weken incl. 27,5 '!A72</f>
        <v>103288</v>
      </c>
      <c r="B72" s="191">
        <f>+'Tabel 2021 52 weken incl. 27,5 '!B72</f>
        <v>106558</v>
      </c>
      <c r="C72" s="1"/>
      <c r="D72" s="136">
        <f>+'Tabel 2021 52 weken incl. 27,5 '!D72</f>
        <v>0.47499999999999998</v>
      </c>
      <c r="E72" s="134"/>
      <c r="F72" s="95">
        <f t="shared" si="0"/>
        <v>5.5992500000000005</v>
      </c>
      <c r="G72" s="94"/>
      <c r="H72" s="95">
        <f t="shared" si="1"/>
        <v>5.1555</v>
      </c>
      <c r="I72" s="1"/>
      <c r="J72" s="137">
        <f>+'Tabel 2021 52 weken incl. 27,5 '!J72</f>
        <v>0.86499999999999999</v>
      </c>
      <c r="K72" s="135"/>
      <c r="L72" s="97">
        <f t="shared" si="2"/>
        <v>2.4129500000000004</v>
      </c>
      <c r="M72" s="96"/>
      <c r="N72" s="97">
        <f t="shared" si="3"/>
        <v>2.4177000000000008</v>
      </c>
    </row>
    <row r="73" spans="1:16" ht="15" x14ac:dyDescent="0.2">
      <c r="A73" s="191">
        <f>+'Tabel 2021 52 weken incl. 27,5 '!A73</f>
        <v>106559</v>
      </c>
      <c r="B73" s="191">
        <f>+'Tabel 2021 52 weken incl. 27,5 '!B73</f>
        <v>109829</v>
      </c>
      <c r="C73" s="1"/>
      <c r="D73" s="136">
        <f>+'Tabel 2021 52 weken incl. 27,5 '!D73</f>
        <v>0.45400000000000001</v>
      </c>
      <c r="E73" s="134"/>
      <c r="F73" s="95">
        <f t="shared" si="0"/>
        <v>5.7708200000000005</v>
      </c>
      <c r="G73" s="94"/>
      <c r="H73" s="95">
        <f t="shared" si="1"/>
        <v>5.3029200000000003</v>
      </c>
      <c r="I73" s="1"/>
      <c r="J73" s="137">
        <f>+'Tabel 2021 52 weken incl. 27,5 '!J73</f>
        <v>0.86099999999999999</v>
      </c>
      <c r="K73" s="135"/>
      <c r="L73" s="97">
        <f t="shared" si="2"/>
        <v>2.4456300000000004</v>
      </c>
      <c r="M73" s="96"/>
      <c r="N73" s="97">
        <f t="shared" si="3"/>
        <v>2.4457800000000005</v>
      </c>
    </row>
    <row r="74" spans="1:16" ht="15" x14ac:dyDescent="0.2">
      <c r="A74" s="191">
        <f>+'Tabel 2021 52 weken incl. 27,5 '!A74</f>
        <v>109830</v>
      </c>
      <c r="B74" s="191">
        <f>+'Tabel 2021 52 weken incl. 27,5 '!B74</f>
        <v>113099</v>
      </c>
      <c r="C74" s="1"/>
      <c r="D74" s="136">
        <f>+'Tabel 2021 52 weken incl. 27,5 '!D74</f>
        <v>0.433</v>
      </c>
      <c r="E74" s="134"/>
      <c r="F74" s="95">
        <f t="shared" si="0"/>
        <v>5.9423899999999996</v>
      </c>
      <c r="G74" s="94"/>
      <c r="H74" s="95">
        <f t="shared" si="1"/>
        <v>5.4503400000000006</v>
      </c>
      <c r="I74" s="1"/>
      <c r="J74" s="137">
        <f>+'Tabel 2021 52 weken incl. 27,5 '!J74</f>
        <v>0.85799999999999998</v>
      </c>
      <c r="K74" s="135"/>
      <c r="L74" s="97">
        <f t="shared" si="2"/>
        <v>2.4701400000000007</v>
      </c>
      <c r="M74" s="96"/>
      <c r="N74" s="97">
        <f t="shared" si="3"/>
        <v>2.4668400000000008</v>
      </c>
    </row>
    <row r="75" spans="1:16" ht="15" x14ac:dyDescent="0.2">
      <c r="A75" s="191">
        <f>+'Tabel 2021 52 weken incl. 27,5 '!A75</f>
        <v>113100</v>
      </c>
      <c r="B75" s="191">
        <f>+'Tabel 2021 52 weken incl. 27,5 '!B75</f>
        <v>116371</v>
      </c>
      <c r="C75" s="1"/>
      <c r="D75" s="136">
        <f>+'Tabel 2021 52 weken incl. 27,5 '!D75</f>
        <v>0.41399999999999998</v>
      </c>
      <c r="E75" s="134"/>
      <c r="F75" s="95">
        <f t="shared" si="0"/>
        <v>6.0976200000000009</v>
      </c>
      <c r="G75" s="94"/>
      <c r="H75" s="95">
        <f t="shared" si="1"/>
        <v>5.5837200000000013</v>
      </c>
      <c r="I75" s="1"/>
      <c r="J75" s="137">
        <f>+'Tabel 2021 52 weken incl. 27,5 '!J75</f>
        <v>0.85099999999999998</v>
      </c>
      <c r="K75" s="135"/>
      <c r="L75" s="97">
        <f t="shared" si="2"/>
        <v>2.527330000000001</v>
      </c>
      <c r="M75" s="96"/>
      <c r="N75" s="97">
        <f t="shared" si="3"/>
        <v>2.5159800000000008</v>
      </c>
    </row>
    <row r="76" spans="1:16" ht="15" x14ac:dyDescent="0.2">
      <c r="A76" s="191">
        <f>+'Tabel 2021 52 weken incl. 27,5 '!A76</f>
        <v>116372</v>
      </c>
      <c r="B76" s="191">
        <f>+'Tabel 2021 52 weken incl. 27,5 '!B76</f>
        <v>119644</v>
      </c>
      <c r="C76" s="1"/>
      <c r="D76" s="136">
        <f>+'Tabel 2021 52 weken incl. 27,5 '!D76</f>
        <v>0.39500000000000002</v>
      </c>
      <c r="E76" s="134"/>
      <c r="F76" s="95">
        <f t="shared" si="0"/>
        <v>6.2528500000000005</v>
      </c>
      <c r="G76" s="94"/>
      <c r="H76" s="95">
        <f t="shared" si="1"/>
        <v>5.7171000000000003</v>
      </c>
      <c r="I76" s="1"/>
      <c r="J76" s="137">
        <f>+'Tabel 2021 52 weken incl. 27,5 '!J76</f>
        <v>0.84499999999999997</v>
      </c>
      <c r="K76" s="135"/>
      <c r="L76" s="97">
        <f t="shared" si="2"/>
        <v>2.5763500000000006</v>
      </c>
      <c r="M76" s="96"/>
      <c r="N76" s="97">
        <f t="shared" si="3"/>
        <v>2.5581000000000005</v>
      </c>
    </row>
    <row r="77" spans="1:16" ht="15" x14ac:dyDescent="0.2">
      <c r="A77" s="191">
        <f>+'Tabel 2021 52 weken incl. 27,5 '!A77</f>
        <v>119645</v>
      </c>
      <c r="B77" s="191">
        <f>+'Tabel 2021 52 weken incl. 27,5 '!B77</f>
        <v>122916</v>
      </c>
      <c r="C77" s="1"/>
      <c r="D77" s="136">
        <f>+'Tabel 2021 52 weken incl. 27,5 '!D77</f>
        <v>0.376</v>
      </c>
      <c r="E77" s="134"/>
      <c r="F77" s="95">
        <f t="shared" si="0"/>
        <v>6.4080800000000009</v>
      </c>
      <c r="G77" s="94"/>
      <c r="H77" s="95">
        <f t="shared" si="1"/>
        <v>5.8504800000000001</v>
      </c>
      <c r="I77" s="1"/>
      <c r="J77" s="137">
        <f>+'Tabel 2021 52 weken incl. 27,5 '!J77</f>
        <v>0.84099999999999997</v>
      </c>
      <c r="K77" s="135"/>
      <c r="L77" s="97">
        <f t="shared" si="2"/>
        <v>2.6090300000000006</v>
      </c>
      <c r="M77" s="96"/>
      <c r="N77" s="97">
        <f t="shared" si="3"/>
        <v>2.5861800000000006</v>
      </c>
    </row>
    <row r="78" spans="1:16" ht="15" x14ac:dyDescent="0.2">
      <c r="A78" s="191">
        <f>+'Tabel 2021 52 weken incl. 27,5 '!A78</f>
        <v>122917</v>
      </c>
      <c r="B78" s="191">
        <f>+'Tabel 2021 52 weken incl. 27,5 '!B78</f>
        <v>126184</v>
      </c>
      <c r="C78" s="1"/>
      <c r="D78" s="136">
        <f>+'Tabel 2021 52 weken incl. 27,5 '!D78</f>
        <v>0.35699999999999998</v>
      </c>
      <c r="E78" s="134"/>
      <c r="F78" s="95">
        <f t="shared" si="0"/>
        <v>6.5633100000000004</v>
      </c>
      <c r="G78" s="94"/>
      <c r="H78" s="95">
        <f t="shared" si="1"/>
        <v>5.9838600000000008</v>
      </c>
      <c r="I78" s="1"/>
      <c r="J78" s="137">
        <f>+'Tabel 2021 52 weken incl. 27,5 '!J78</f>
        <v>0.83499999999999996</v>
      </c>
      <c r="K78" s="135"/>
      <c r="L78" s="97">
        <f t="shared" si="2"/>
        <v>2.6580500000000007</v>
      </c>
      <c r="M78" s="96"/>
      <c r="N78" s="97">
        <f t="shared" si="3"/>
        <v>2.6283000000000007</v>
      </c>
      <c r="O78" s="100"/>
      <c r="P78" s="101"/>
    </row>
    <row r="79" spans="1:16" ht="15" x14ac:dyDescent="0.2">
      <c r="A79" s="191">
        <f>+'Tabel 2021 52 weken incl. 27,5 '!A79</f>
        <v>126185</v>
      </c>
      <c r="B79" s="191">
        <f>+'Tabel 2021 52 weken incl. 27,5 '!B79</f>
        <v>129456</v>
      </c>
      <c r="C79" s="1"/>
      <c r="D79" s="136">
        <f>+'Tabel 2021 52 weken incl. 27,5 '!D79</f>
        <v>0.34100000000000003</v>
      </c>
      <c r="E79" s="134"/>
      <c r="F79" s="95">
        <f t="shared" si="0"/>
        <v>6.6940300000000006</v>
      </c>
      <c r="G79" s="94"/>
      <c r="H79" s="95">
        <f t="shared" si="1"/>
        <v>6.0961800000000004</v>
      </c>
      <c r="I79" s="1"/>
      <c r="J79" s="137">
        <f>+'Tabel 2021 52 weken incl. 27,5 '!J79</f>
        <v>0.83199999999999996</v>
      </c>
      <c r="K79" s="135"/>
      <c r="L79" s="97">
        <f t="shared" si="2"/>
        <v>2.6825600000000005</v>
      </c>
      <c r="M79" s="96"/>
      <c r="N79" s="97">
        <f t="shared" si="3"/>
        <v>2.6493600000000006</v>
      </c>
    </row>
    <row r="80" spans="1:16" ht="15" x14ac:dyDescent="0.2">
      <c r="A80" s="191">
        <f>+'Tabel 2021 52 weken incl. 27,5 '!A80</f>
        <v>129457</v>
      </c>
      <c r="B80" s="191">
        <f>+'Tabel 2021 52 weken incl. 27,5 '!B80</f>
        <v>132729</v>
      </c>
      <c r="C80" s="1"/>
      <c r="D80" s="136">
        <f>+'Tabel 2021 52 weken incl. 27,5 '!D80</f>
        <v>0.33300000000000002</v>
      </c>
      <c r="E80" s="134"/>
      <c r="F80" s="95">
        <f t="shared" si="0"/>
        <v>6.7593900000000007</v>
      </c>
      <c r="G80" s="94"/>
      <c r="H80" s="95">
        <f t="shared" si="1"/>
        <v>6.1523400000000006</v>
      </c>
      <c r="I80" s="1"/>
      <c r="J80" s="137">
        <f>+'Tabel 2021 52 weken incl. 27,5 '!J80</f>
        <v>0.82499999999999996</v>
      </c>
      <c r="K80" s="135"/>
      <c r="L80" s="97">
        <f t="shared" si="2"/>
        <v>2.7397500000000008</v>
      </c>
      <c r="M80" s="96"/>
      <c r="N80" s="97">
        <f t="shared" si="3"/>
        <v>2.698500000000001</v>
      </c>
    </row>
    <row r="81" spans="1:14" ht="15" x14ac:dyDescent="0.2">
      <c r="A81" s="191">
        <f>+'Tabel 2021 52 weken incl. 27,5 '!A81</f>
        <v>132730</v>
      </c>
      <c r="B81" s="191">
        <f>+'Tabel 2021 52 weken incl. 27,5 '!B81</f>
        <v>135999</v>
      </c>
      <c r="C81" s="1"/>
      <c r="D81" s="136">
        <f>+'Tabel 2021 52 weken incl. 27,5 '!D81</f>
        <v>0.33300000000000002</v>
      </c>
      <c r="E81" s="134"/>
      <c r="F81" s="95">
        <f t="shared" si="0"/>
        <v>6.7593900000000007</v>
      </c>
      <c r="G81" s="94"/>
      <c r="H81" s="95">
        <f t="shared" si="1"/>
        <v>6.1523400000000006</v>
      </c>
      <c r="I81" s="1"/>
      <c r="J81" s="137">
        <f>+'Tabel 2021 52 weken incl. 27,5 '!J81</f>
        <v>0.81899999999999995</v>
      </c>
      <c r="K81" s="135"/>
      <c r="L81" s="97">
        <f t="shared" si="2"/>
        <v>2.7887700000000009</v>
      </c>
      <c r="M81" s="96"/>
      <c r="N81" s="97">
        <f t="shared" si="3"/>
        <v>2.7406200000000007</v>
      </c>
    </row>
    <row r="82" spans="1:14" ht="15" x14ac:dyDescent="0.2">
      <c r="A82" s="191">
        <f>+'Tabel 2021 52 weken incl. 27,5 '!A82</f>
        <v>136000</v>
      </c>
      <c r="B82" s="191">
        <f>+'Tabel 2021 52 weken incl. 27,5 '!B82</f>
        <v>139270</v>
      </c>
      <c r="C82" s="1"/>
      <c r="D82" s="136">
        <f>+'Tabel 2021 52 weken incl. 27,5 '!D82</f>
        <v>0.33300000000000002</v>
      </c>
      <c r="E82" s="134"/>
      <c r="F82" s="95">
        <f t="shared" si="0"/>
        <v>6.7593900000000007</v>
      </c>
      <c r="G82" s="94"/>
      <c r="H82" s="95">
        <f t="shared" si="1"/>
        <v>6.1523400000000006</v>
      </c>
      <c r="I82" s="1"/>
      <c r="J82" s="137">
        <f>+'Tabel 2021 52 weken incl. 27,5 '!J82</f>
        <v>0.80900000000000005</v>
      </c>
      <c r="K82" s="135"/>
      <c r="L82" s="97">
        <f t="shared" si="2"/>
        <v>2.8704700000000001</v>
      </c>
      <c r="M82" s="96"/>
      <c r="N82" s="97">
        <f t="shared" si="3"/>
        <v>2.8108200000000001</v>
      </c>
    </row>
    <row r="83" spans="1:14" ht="15" x14ac:dyDescent="0.2">
      <c r="A83" s="191">
        <f>+'Tabel 2021 52 weken incl. 27,5 '!A83</f>
        <v>139271</v>
      </c>
      <c r="B83" s="191">
        <f>+'Tabel 2021 52 weken incl. 27,5 '!B83</f>
        <v>142541</v>
      </c>
      <c r="C83" s="1"/>
      <c r="D83" s="136">
        <f>+'Tabel 2021 52 weken incl. 27,5 '!D83</f>
        <v>0.33300000000000002</v>
      </c>
      <c r="E83" s="134"/>
      <c r="F83" s="95">
        <f t="shared" si="0"/>
        <v>6.7593900000000007</v>
      </c>
      <c r="G83" s="94"/>
      <c r="H83" s="95">
        <f t="shared" si="1"/>
        <v>6.1523400000000006</v>
      </c>
      <c r="I83" s="1"/>
      <c r="J83" s="137">
        <f>+'Tabel 2021 52 weken incl. 27,5 '!J83</f>
        <v>0.80600000000000005</v>
      </c>
      <c r="K83" s="135"/>
      <c r="L83" s="97">
        <f t="shared" si="2"/>
        <v>2.8949800000000003</v>
      </c>
      <c r="M83" s="96"/>
      <c r="N83" s="97">
        <f t="shared" si="3"/>
        <v>2.83188</v>
      </c>
    </row>
    <row r="84" spans="1:14" ht="15" x14ac:dyDescent="0.2">
      <c r="A84" s="191">
        <f>+'Tabel 2021 52 weken incl. 27,5 '!A84</f>
        <v>142542</v>
      </c>
      <c r="B84" s="191">
        <f>+'Tabel 2021 52 weken incl. 27,5 '!B84</f>
        <v>145813</v>
      </c>
      <c r="C84" s="1"/>
      <c r="D84" s="136">
        <f>+'Tabel 2021 52 weken incl. 27,5 '!D84</f>
        <v>0.33300000000000002</v>
      </c>
      <c r="E84" s="134"/>
      <c r="F84" s="95">
        <f t="shared" si="0"/>
        <v>6.7593900000000007</v>
      </c>
      <c r="G84" s="94"/>
      <c r="H84" s="95">
        <f t="shared" si="1"/>
        <v>6.1523400000000006</v>
      </c>
      <c r="I84" s="1"/>
      <c r="J84" s="137">
        <f>+'Tabel 2021 52 weken incl. 27,5 '!J84</f>
        <v>0.79800000000000004</v>
      </c>
      <c r="K84" s="135"/>
      <c r="L84" s="97">
        <f t="shared" si="2"/>
        <v>2.9603400000000004</v>
      </c>
      <c r="M84" s="96"/>
      <c r="N84" s="97">
        <f t="shared" si="3"/>
        <v>2.8880400000000002</v>
      </c>
    </row>
    <row r="85" spans="1:14" ht="15" x14ac:dyDescent="0.2">
      <c r="A85" s="191">
        <f>+'Tabel 2021 52 weken incl. 27,5 '!A85</f>
        <v>145814</v>
      </c>
      <c r="B85" s="191">
        <f>+'Tabel 2021 52 weken incl. 27,5 '!B85</f>
        <v>149088</v>
      </c>
      <c r="C85" s="1"/>
      <c r="D85" s="136">
        <f>+'Tabel 2021 52 weken incl. 27,5 '!D85</f>
        <v>0.33300000000000002</v>
      </c>
      <c r="E85" s="134"/>
      <c r="F85" s="95">
        <f t="shared" si="0"/>
        <v>6.7593900000000007</v>
      </c>
      <c r="G85" s="94"/>
      <c r="H85" s="95">
        <f t="shared" si="1"/>
        <v>6.1523400000000006</v>
      </c>
      <c r="I85" s="1"/>
      <c r="J85" s="137">
        <f>+'Tabel 2021 52 weken incl. 27,5 '!J85</f>
        <v>0.78900000000000003</v>
      </c>
      <c r="K85" s="135"/>
      <c r="L85" s="97">
        <f t="shared" si="2"/>
        <v>3.0338700000000003</v>
      </c>
      <c r="M85" s="96"/>
      <c r="N85" s="97">
        <f t="shared" si="3"/>
        <v>2.9512200000000002</v>
      </c>
    </row>
    <row r="86" spans="1:14" ht="15" x14ac:dyDescent="0.2">
      <c r="A86" s="191">
        <f>+'Tabel 2021 52 weken incl. 27,5 '!A86</f>
        <v>149089</v>
      </c>
      <c r="B86" s="191">
        <f>+'Tabel 2021 52 weken incl. 27,5 '!B86</f>
        <v>152356</v>
      </c>
      <c r="C86" s="1"/>
      <c r="D86" s="136">
        <f>+'Tabel 2021 52 weken incl. 27,5 '!D86</f>
        <v>0.33300000000000002</v>
      </c>
      <c r="E86" s="134"/>
      <c r="F86" s="95">
        <f t="shared" si="0"/>
        <v>6.7593900000000007</v>
      </c>
      <c r="G86" s="94"/>
      <c r="H86" s="95">
        <f t="shared" si="1"/>
        <v>6.1523400000000006</v>
      </c>
      <c r="I86" s="1"/>
      <c r="J86" s="137">
        <f>+'Tabel 2021 52 weken incl. 27,5 '!J86</f>
        <v>0.78300000000000003</v>
      </c>
      <c r="K86" s="135"/>
      <c r="L86" s="97">
        <f t="shared" si="2"/>
        <v>3.0828900000000004</v>
      </c>
      <c r="M86" s="96"/>
      <c r="N86" s="97">
        <f t="shared" si="3"/>
        <v>2.9933400000000003</v>
      </c>
    </row>
    <row r="87" spans="1:14" ht="15" x14ac:dyDescent="0.2">
      <c r="A87" s="191">
        <f>+'Tabel 2021 52 weken incl. 27,5 '!A87</f>
        <v>152357</v>
      </c>
      <c r="B87" s="191">
        <f>+'Tabel 2021 52 weken incl. 27,5 '!B87</f>
        <v>155628</v>
      </c>
      <c r="C87" s="1"/>
      <c r="D87" s="136">
        <f>+'Tabel 2021 52 weken incl. 27,5 '!D87</f>
        <v>0.33300000000000002</v>
      </c>
      <c r="E87" s="134"/>
      <c r="F87" s="95">
        <f t="shared" si="0"/>
        <v>6.7593900000000007</v>
      </c>
      <c r="G87" s="94"/>
      <c r="H87" s="95">
        <f t="shared" si="1"/>
        <v>6.1523400000000006</v>
      </c>
      <c r="I87" s="1"/>
      <c r="J87" s="137">
        <f>+'Tabel 2021 52 weken incl. 27,5 '!J87</f>
        <v>0.77400000000000002</v>
      </c>
      <c r="K87" s="135"/>
      <c r="L87" s="97">
        <f t="shared" si="2"/>
        <v>3.1564200000000002</v>
      </c>
      <c r="M87" s="96"/>
      <c r="N87" s="97">
        <f t="shared" si="3"/>
        <v>3.0565200000000003</v>
      </c>
    </row>
    <row r="88" spans="1:14" ht="15" x14ac:dyDescent="0.2">
      <c r="A88" s="191">
        <f>+'Tabel 2021 52 weken incl. 27,5 '!A88</f>
        <v>155629</v>
      </c>
      <c r="B88" s="191">
        <f>+'Tabel 2021 52 weken incl. 27,5 '!B88</f>
        <v>158897</v>
      </c>
      <c r="C88" s="1"/>
      <c r="D88" s="136">
        <f>+'Tabel 2021 52 weken incl. 27,5 '!D88</f>
        <v>0.33300000000000002</v>
      </c>
      <c r="E88" s="134"/>
      <c r="F88" s="95">
        <f t="shared" si="0"/>
        <v>6.7593900000000007</v>
      </c>
      <c r="G88" s="94"/>
      <c r="H88" s="95">
        <f t="shared" si="1"/>
        <v>6.1523400000000006</v>
      </c>
      <c r="I88" s="1"/>
      <c r="J88" s="137">
        <f>+'Tabel 2021 52 weken incl. 27,5 '!J88</f>
        <v>0.76900000000000002</v>
      </c>
      <c r="K88" s="135"/>
      <c r="L88" s="97">
        <f t="shared" si="2"/>
        <v>3.1972700000000005</v>
      </c>
      <c r="M88" s="96"/>
      <c r="N88" s="97">
        <f t="shared" si="3"/>
        <v>3.0916200000000007</v>
      </c>
    </row>
    <row r="89" spans="1:14" ht="15" x14ac:dyDescent="0.2">
      <c r="A89" s="191">
        <f>+'Tabel 2021 52 weken incl. 27,5 '!A89</f>
        <v>158898</v>
      </c>
      <c r="B89" s="191">
        <f>+'Tabel 2021 52 weken incl. 27,5 '!B89</f>
        <v>162171</v>
      </c>
      <c r="C89" s="1"/>
      <c r="D89" s="136">
        <f>+'Tabel 2021 52 weken incl. 27,5 '!D89</f>
        <v>0.33300000000000002</v>
      </c>
      <c r="E89" s="134"/>
      <c r="F89" s="95">
        <f t="shared" si="0"/>
        <v>6.7593900000000007</v>
      </c>
      <c r="G89" s="94"/>
      <c r="H89" s="95">
        <f t="shared" si="1"/>
        <v>6.1523400000000006</v>
      </c>
      <c r="I89" s="1"/>
      <c r="J89" s="137">
        <f>+'Tabel 2021 52 weken incl. 27,5 '!J89</f>
        <v>0.76200000000000001</v>
      </c>
      <c r="K89" s="135"/>
      <c r="L89" s="97">
        <f t="shared" si="2"/>
        <v>3.2544600000000004</v>
      </c>
      <c r="M89" s="96"/>
      <c r="N89" s="97">
        <f t="shared" si="3"/>
        <v>3.1407600000000002</v>
      </c>
    </row>
    <row r="90" spans="1:14" ht="15" x14ac:dyDescent="0.2">
      <c r="A90" s="191">
        <f>+'Tabel 2021 52 weken incl. 27,5 '!A90</f>
        <v>162172</v>
      </c>
      <c r="B90" s="191">
        <f>+'Tabel 2021 52 weken incl. 27,5 '!B90</f>
        <v>165443</v>
      </c>
      <c r="C90" s="1"/>
      <c r="D90" s="136">
        <f>+'Tabel 2021 52 weken incl. 27,5 '!D90</f>
        <v>0.33300000000000002</v>
      </c>
      <c r="E90" s="134"/>
      <c r="F90" s="95">
        <f t="shared" si="0"/>
        <v>6.7593900000000007</v>
      </c>
      <c r="G90" s="94"/>
      <c r="H90" s="95">
        <f t="shared" si="1"/>
        <v>6.1523400000000006</v>
      </c>
      <c r="I90" s="1"/>
      <c r="J90" s="137">
        <f>+'Tabel 2021 52 weken incl. 27,5 '!J90</f>
        <v>0.755</v>
      </c>
      <c r="K90" s="135"/>
      <c r="L90" s="97">
        <f t="shared" si="2"/>
        <v>3.3116500000000006</v>
      </c>
      <c r="M90" s="96"/>
      <c r="N90" s="97">
        <f t="shared" si="3"/>
        <v>3.1899000000000006</v>
      </c>
    </row>
    <row r="91" spans="1:14" ht="15" x14ac:dyDescent="0.2">
      <c r="A91" s="191">
        <f>+'Tabel 2021 52 weken incl. 27,5 '!A91</f>
        <v>165444</v>
      </c>
      <c r="B91" s="191">
        <f>+'Tabel 2021 52 weken incl. 27,5 '!B91</f>
        <v>168714</v>
      </c>
      <c r="C91" s="1"/>
      <c r="D91" s="136">
        <f>+'Tabel 2021 52 weken incl. 27,5 '!D91</f>
        <v>0.33300000000000002</v>
      </c>
      <c r="E91" s="134"/>
      <c r="F91" s="95">
        <f t="shared" si="0"/>
        <v>6.7593900000000007</v>
      </c>
      <c r="G91" s="94"/>
      <c r="H91" s="95">
        <f t="shared" si="1"/>
        <v>6.1523400000000006</v>
      </c>
      <c r="I91" s="1"/>
      <c r="J91" s="137">
        <f>+'Tabel 2021 52 weken incl. 27,5 '!J91</f>
        <v>0.748</v>
      </c>
      <c r="K91" s="135"/>
      <c r="L91" s="97">
        <f t="shared" si="2"/>
        <v>3.3688400000000005</v>
      </c>
      <c r="M91" s="96"/>
      <c r="N91" s="97">
        <f t="shared" si="3"/>
        <v>3.2390400000000006</v>
      </c>
    </row>
    <row r="92" spans="1:14" ht="15" x14ac:dyDescent="0.2">
      <c r="A92" s="191">
        <f>+'Tabel 2021 52 weken incl. 27,5 '!A92</f>
        <v>168715</v>
      </c>
      <c r="B92" s="191">
        <f>+'Tabel 2021 52 weken incl. 27,5 '!B92</f>
        <v>171985</v>
      </c>
      <c r="C92" s="1"/>
      <c r="D92" s="136">
        <f>+'Tabel 2021 52 weken incl. 27,5 '!D92</f>
        <v>0.33300000000000002</v>
      </c>
      <c r="E92" s="134"/>
      <c r="F92" s="95">
        <f t="shared" si="0"/>
        <v>6.7593900000000007</v>
      </c>
      <c r="G92" s="94"/>
      <c r="H92" s="95">
        <f t="shared" si="1"/>
        <v>6.1523400000000006</v>
      </c>
      <c r="I92" s="1"/>
      <c r="J92" s="137">
        <f>+'Tabel 2021 52 weken incl. 27,5 '!J92</f>
        <v>0.73799999999999999</v>
      </c>
      <c r="K92" s="135"/>
      <c r="L92" s="97">
        <f t="shared" si="2"/>
        <v>3.4505400000000006</v>
      </c>
      <c r="M92" s="96"/>
      <c r="N92" s="97">
        <f t="shared" si="3"/>
        <v>3.3092400000000008</v>
      </c>
    </row>
    <row r="93" spans="1:14" ht="15" x14ac:dyDescent="0.2">
      <c r="A93" s="191">
        <f>+'Tabel 2021 52 weken incl. 27,5 '!A93</f>
        <v>171986</v>
      </c>
      <c r="B93" s="191">
        <f>+'Tabel 2021 52 weken incl. 27,5 '!B93</f>
        <v>175253</v>
      </c>
      <c r="C93" s="1"/>
      <c r="D93" s="136">
        <f>+'Tabel 2021 52 weken incl. 27,5 '!D93</f>
        <v>0.33300000000000002</v>
      </c>
      <c r="E93" s="134"/>
      <c r="F93" s="95">
        <f t="shared" si="0"/>
        <v>6.7593900000000007</v>
      </c>
      <c r="G93" s="94"/>
      <c r="H93" s="95">
        <f t="shared" si="1"/>
        <v>6.1523400000000006</v>
      </c>
      <c r="I93" s="1"/>
      <c r="J93" s="137">
        <f>+'Tabel 2021 52 weken incl. 27,5 '!J93</f>
        <v>0.73299999999999998</v>
      </c>
      <c r="K93" s="135"/>
      <c r="L93" s="97">
        <f t="shared" si="2"/>
        <v>3.4913900000000004</v>
      </c>
      <c r="M93" s="96"/>
      <c r="N93" s="97">
        <f t="shared" si="3"/>
        <v>3.3443400000000008</v>
      </c>
    </row>
    <row r="94" spans="1:14" ht="15" x14ac:dyDescent="0.2">
      <c r="A94" s="191">
        <f>+'Tabel 2021 52 weken incl. 27,5 '!A94</f>
        <v>175254</v>
      </c>
      <c r="B94" s="191">
        <f>+'Tabel 2021 52 weken incl. 27,5 '!B94</f>
        <v>178527</v>
      </c>
      <c r="C94" s="1"/>
      <c r="D94" s="136">
        <f>+'Tabel 2021 52 weken incl. 27,5 '!D94</f>
        <v>0.33300000000000002</v>
      </c>
      <c r="E94" s="134"/>
      <c r="F94" s="95">
        <f t="shared" si="0"/>
        <v>6.7593900000000007</v>
      </c>
      <c r="G94" s="94"/>
      <c r="H94" s="95">
        <f t="shared" si="1"/>
        <v>6.1523400000000006</v>
      </c>
      <c r="I94" s="1"/>
      <c r="J94" s="137">
        <f>+'Tabel 2021 52 weken incl. 27,5 '!J94</f>
        <v>0.72599999999999998</v>
      </c>
      <c r="K94" s="135"/>
      <c r="L94" s="97">
        <f t="shared" si="2"/>
        <v>3.5485800000000007</v>
      </c>
      <c r="M94" s="96"/>
      <c r="N94" s="97">
        <f t="shared" si="3"/>
        <v>3.3934800000000007</v>
      </c>
    </row>
    <row r="95" spans="1:14" ht="15" x14ac:dyDescent="0.2">
      <c r="A95" s="191">
        <f>+'Tabel 2021 52 weken incl. 27,5 '!A95</f>
        <v>178528</v>
      </c>
      <c r="B95" s="191">
        <f>+'Tabel 2021 52 weken incl. 27,5 '!B95</f>
        <v>181797</v>
      </c>
      <c r="C95" s="1"/>
      <c r="D95" s="136">
        <f>+'Tabel 2021 52 weken incl. 27,5 '!D95</f>
        <v>0.33300000000000002</v>
      </c>
      <c r="E95" s="134"/>
      <c r="F95" s="95">
        <f t="shared" si="0"/>
        <v>6.7593900000000007</v>
      </c>
      <c r="G95" s="94"/>
      <c r="H95" s="95">
        <f t="shared" si="1"/>
        <v>6.1523400000000006</v>
      </c>
      <c r="I95" s="1"/>
      <c r="J95" s="137">
        <f>+'Tabel 2021 52 weken incl. 27,5 '!J95</f>
        <v>0.71799999999999997</v>
      </c>
      <c r="K95" s="135"/>
      <c r="L95" s="97">
        <f t="shared" si="2"/>
        <v>3.6139400000000008</v>
      </c>
      <c r="M95" s="96"/>
      <c r="N95" s="97">
        <f t="shared" si="3"/>
        <v>3.4496400000000005</v>
      </c>
    </row>
    <row r="96" spans="1:14" ht="15" x14ac:dyDescent="0.2">
      <c r="A96" s="191">
        <f>+'Tabel 2021 52 weken incl. 27,5 '!A96</f>
        <v>181798</v>
      </c>
      <c r="B96" s="191">
        <f>+'Tabel 2021 52 weken incl. 27,5 '!B96</f>
        <v>185070</v>
      </c>
      <c r="C96" s="1"/>
      <c r="D96" s="136">
        <f>+'Tabel 2021 52 weken incl. 27,5 '!D96</f>
        <v>0.33300000000000002</v>
      </c>
      <c r="E96" s="134"/>
      <c r="F96" s="95">
        <f t="shared" si="0"/>
        <v>6.7593900000000007</v>
      </c>
      <c r="G96" s="94"/>
      <c r="H96" s="95">
        <f t="shared" si="1"/>
        <v>6.1523400000000006</v>
      </c>
      <c r="I96" s="1"/>
      <c r="J96" s="137">
        <f>+'Tabel 2021 52 weken incl. 27,5 '!J96</f>
        <v>0.71099999999999997</v>
      </c>
      <c r="K96" s="135"/>
      <c r="L96" s="97">
        <f t="shared" si="2"/>
        <v>3.6711300000000007</v>
      </c>
      <c r="M96" s="96"/>
      <c r="N96" s="97">
        <f t="shared" si="3"/>
        <v>3.4987800000000009</v>
      </c>
    </row>
    <row r="97" spans="1:14" ht="15" x14ac:dyDescent="0.2">
      <c r="A97" s="191">
        <f>+'Tabel 2021 52 weken incl. 27,5 '!A97</f>
        <v>185071</v>
      </c>
      <c r="B97" s="191">
        <f>+'Tabel 2021 52 weken incl. 27,5 '!B97</f>
        <v>188342</v>
      </c>
      <c r="C97" s="1"/>
      <c r="D97" s="136">
        <f>+'Tabel 2021 52 weken incl. 27,5 '!D97</f>
        <v>0.33300000000000002</v>
      </c>
      <c r="E97" s="134"/>
      <c r="F97" s="95">
        <f t="shared" si="0"/>
        <v>6.7593900000000007</v>
      </c>
      <c r="G97" s="94"/>
      <c r="H97" s="95">
        <f t="shared" si="1"/>
        <v>6.1523400000000006</v>
      </c>
      <c r="I97" s="1"/>
      <c r="J97" s="137">
        <f>+'Tabel 2021 52 weken incl. 27,5 '!J97</f>
        <v>0.70499999999999996</v>
      </c>
      <c r="K97" s="135"/>
      <c r="L97" s="97">
        <f t="shared" si="2"/>
        <v>3.7201500000000007</v>
      </c>
      <c r="M97" s="96"/>
      <c r="N97" s="97">
        <f t="shared" si="3"/>
        <v>3.5409000000000006</v>
      </c>
    </row>
    <row r="98" spans="1:14" ht="15" x14ac:dyDescent="0.2">
      <c r="A98" s="191">
        <f>+'Tabel 2021 52 weken incl. 27,5 '!A98</f>
        <v>188343</v>
      </c>
      <c r="B98" s="191">
        <f>+'Tabel 2021 52 weken incl. 27,5 '!B98</f>
        <v>191612</v>
      </c>
      <c r="C98" s="1"/>
      <c r="D98" s="136">
        <f>+'Tabel 2021 52 weken incl. 27,5 '!D98</f>
        <v>0.33300000000000002</v>
      </c>
      <c r="E98" s="134"/>
      <c r="F98" s="95">
        <f t="shared" ref="F98:F101" si="4">IF($D$19&gt;=$F$28,($F$28*(100%-D98))+($F$19),$D$19*(100%-D98)+$F$19)</f>
        <v>6.7593900000000007</v>
      </c>
      <c r="G98" s="94"/>
      <c r="H98" s="95">
        <f t="shared" ref="H98:H101" si="5">IF($D$20&gt;=$H$28,($H$28*(100%-D98))+($F$20),$D$20*(100%-D98)+($F$20))</f>
        <v>6.1523400000000006</v>
      </c>
      <c r="I98" s="1"/>
      <c r="J98" s="137">
        <f>+'Tabel 2021 52 weken incl. 27,5 '!J98</f>
        <v>0.69799999999999995</v>
      </c>
      <c r="K98" s="135"/>
      <c r="L98" s="97">
        <f t="shared" ref="L98:L101" si="6">IF($D$19&gt;=$L$28,($L$28*(100%-J98))+(F$19),$D$19*(100%-J98)+$F$19)</f>
        <v>3.777340000000001</v>
      </c>
      <c r="M98" s="96"/>
      <c r="N98" s="97">
        <f t="shared" ref="N98:N101" si="7">IF($D$20&gt;=$H$28,($H$28*(100%-J98))+($F$20),$D$20*(100%-J98)+($F$20))</f>
        <v>3.590040000000001</v>
      </c>
    </row>
    <row r="99" spans="1:14" ht="15" x14ac:dyDescent="0.2">
      <c r="A99" s="191">
        <f>+'Tabel 2021 52 weken incl. 27,5 '!A99</f>
        <v>191613</v>
      </c>
      <c r="B99" s="191">
        <f>+'Tabel 2021 52 weken incl. 27,5 '!B99</f>
        <v>194884</v>
      </c>
      <c r="C99" s="1"/>
      <c r="D99" s="136">
        <f>+'Tabel 2021 52 weken incl. 27,5 '!D99</f>
        <v>0.33300000000000002</v>
      </c>
      <c r="E99" s="134"/>
      <c r="F99" s="95">
        <f t="shared" si="4"/>
        <v>6.7593900000000007</v>
      </c>
      <c r="G99" s="94"/>
      <c r="H99" s="95">
        <f t="shared" si="5"/>
        <v>6.1523400000000006</v>
      </c>
      <c r="I99" s="1"/>
      <c r="J99" s="137">
        <f>+'Tabel 2021 52 weken incl. 27,5 '!J99</f>
        <v>0.69</v>
      </c>
      <c r="K99" s="135"/>
      <c r="L99" s="97">
        <f t="shared" si="6"/>
        <v>3.8427000000000011</v>
      </c>
      <c r="M99" s="96"/>
      <c r="N99" s="97">
        <f t="shared" si="7"/>
        <v>3.6462000000000008</v>
      </c>
    </row>
    <row r="100" spans="1:14" ht="15" x14ac:dyDescent="0.2">
      <c r="A100" s="191">
        <f>+'Tabel 2021 52 weken incl. 27,5 '!A100</f>
        <v>194885</v>
      </c>
      <c r="B100" s="191">
        <f>+'Tabel 2021 52 weken incl. 27,5 '!B100</f>
        <v>198154</v>
      </c>
      <c r="C100" s="1"/>
      <c r="D100" s="136">
        <f>+'Tabel 2021 52 weken incl. 27,5 '!D100</f>
        <v>0.33300000000000002</v>
      </c>
      <c r="E100" s="134"/>
      <c r="F100" s="95">
        <f t="shared" si="4"/>
        <v>6.7593900000000007</v>
      </c>
      <c r="G100" s="94"/>
      <c r="H100" s="95">
        <f t="shared" si="5"/>
        <v>6.1523400000000006</v>
      </c>
      <c r="I100" s="1"/>
      <c r="J100" s="137">
        <f>+'Tabel 2021 52 weken incl. 27,5 '!J100</f>
        <v>0.68500000000000005</v>
      </c>
      <c r="K100" s="135"/>
      <c r="L100" s="97">
        <f t="shared" si="6"/>
        <v>3.8835500000000001</v>
      </c>
      <c r="M100" s="96"/>
      <c r="N100" s="97">
        <f t="shared" si="7"/>
        <v>3.6813000000000002</v>
      </c>
    </row>
    <row r="101" spans="1:14" ht="15" x14ac:dyDescent="0.2">
      <c r="A101" s="191">
        <f>+'Tabel 2021 52 weken incl. 27,5 '!A101</f>
        <v>198155</v>
      </c>
      <c r="B101" s="191" t="str">
        <f>+'Tabel 2021 52 weken incl. 27,5 '!B101</f>
        <v>en hoger</v>
      </c>
      <c r="C101" s="1"/>
      <c r="D101" s="136">
        <f>+'Tabel 2021 52 weken incl. 27,5 '!D101</f>
        <v>0.33300000000000002</v>
      </c>
      <c r="E101" s="134"/>
      <c r="F101" s="95">
        <f t="shared" si="4"/>
        <v>6.7593900000000007</v>
      </c>
      <c r="G101" s="94"/>
      <c r="H101" s="95">
        <f t="shared" si="5"/>
        <v>6.1523400000000006</v>
      </c>
      <c r="I101" s="1"/>
      <c r="J101" s="137">
        <f>+'Tabel 2021 52 weken incl. 27,5 '!J101</f>
        <v>0.67600000000000005</v>
      </c>
      <c r="K101" s="135"/>
      <c r="L101" s="97">
        <f t="shared" si="6"/>
        <v>3.9570799999999999</v>
      </c>
      <c r="M101" s="96"/>
      <c r="N101" s="97">
        <f t="shared" si="7"/>
        <v>3.7444800000000003</v>
      </c>
    </row>
    <row r="102" spans="1:14" x14ac:dyDescent="0.2">
      <c r="C102" s="1"/>
      <c r="I102" s="1"/>
      <c r="L102" s="333"/>
      <c r="M102" s="10"/>
      <c r="N102" s="333"/>
    </row>
    <row r="103" spans="1:14" x14ac:dyDescent="0.2">
      <c r="C103" s="1"/>
      <c r="I103" s="1"/>
      <c r="L103" s="333"/>
      <c r="M103" s="10"/>
      <c r="N103" s="333"/>
    </row>
    <row r="104" spans="1:14" x14ac:dyDescent="0.2">
      <c r="C104" s="1"/>
      <c r="I104" s="1"/>
      <c r="L104" s="333"/>
      <c r="M104" s="10"/>
      <c r="N104" s="333"/>
    </row>
    <row r="105" spans="1:14" x14ac:dyDescent="0.2">
      <c r="A105" s="102"/>
      <c r="C105" s="1"/>
      <c r="I105" s="1"/>
    </row>
    <row r="106" spans="1:14" x14ac:dyDescent="0.2">
      <c r="A106" s="102"/>
      <c r="C106" s="1"/>
      <c r="I106" s="1"/>
    </row>
    <row r="107" spans="1:14" x14ac:dyDescent="0.2">
      <c r="C107" s="1"/>
      <c r="I107" s="1"/>
    </row>
    <row r="108" spans="1:14" x14ac:dyDescent="0.2">
      <c r="C108" s="1"/>
      <c r="I108" s="1"/>
    </row>
    <row r="109" spans="1:14" x14ac:dyDescent="0.2">
      <c r="C109" s="1"/>
      <c r="I109" s="1"/>
    </row>
    <row r="110" spans="1:14" ht="15.75" x14ac:dyDescent="0.2">
      <c r="A110" s="129"/>
      <c r="B110" s="130"/>
      <c r="C110" s="133"/>
      <c r="D110" s="128"/>
      <c r="I110" s="1"/>
    </row>
    <row r="111" spans="1:14" ht="15.75" x14ac:dyDescent="0.2">
      <c r="A111" s="130"/>
      <c r="B111" s="130"/>
      <c r="C111" s="133"/>
      <c r="D111" s="128"/>
      <c r="I111" s="1"/>
    </row>
    <row r="112" spans="1:14" ht="15.75" x14ac:dyDescent="0.2">
      <c r="A112" s="130"/>
      <c r="B112" s="130"/>
      <c r="C112" s="133"/>
      <c r="D112" s="128"/>
      <c r="I112" s="1"/>
    </row>
    <row r="113" spans="1:10" ht="15.75" x14ac:dyDescent="0.2">
      <c r="A113" s="130"/>
      <c r="B113" s="130"/>
      <c r="C113" s="133"/>
      <c r="D113" s="128"/>
      <c r="I113" s="1"/>
    </row>
    <row r="114" spans="1:10" ht="15.75" x14ac:dyDescent="0.2">
      <c r="A114" s="130"/>
      <c r="B114" s="130"/>
      <c r="C114" s="128"/>
      <c r="D114" s="128"/>
    </row>
    <row r="115" spans="1:10" ht="15.75" x14ac:dyDescent="0.2">
      <c r="A115" s="130"/>
      <c r="B115" s="130"/>
      <c r="C115" s="128"/>
      <c r="D115" s="128"/>
      <c r="F115"/>
      <c r="H115"/>
      <c r="J115"/>
    </row>
    <row r="116" spans="1:10" ht="15.75" x14ac:dyDescent="0.2">
      <c r="A116" s="130"/>
      <c r="B116" s="130"/>
      <c r="C116" s="128"/>
      <c r="D116" s="128"/>
      <c r="F116"/>
      <c r="H116"/>
      <c r="J116"/>
    </row>
    <row r="117" spans="1:10" ht="15.75" x14ac:dyDescent="0.2">
      <c r="A117" s="130"/>
      <c r="B117" s="130"/>
      <c r="C117" s="128"/>
      <c r="D117" s="128"/>
      <c r="F117"/>
      <c r="H117"/>
      <c r="J117"/>
    </row>
    <row r="118" spans="1:10" ht="15.75" x14ac:dyDescent="0.2">
      <c r="A118" s="130"/>
      <c r="B118" s="130"/>
      <c r="C118" s="128"/>
      <c r="D118" s="128"/>
      <c r="F118"/>
      <c r="H118"/>
      <c r="J118"/>
    </row>
    <row r="119" spans="1:10" ht="15.75" x14ac:dyDescent="0.2">
      <c r="A119" s="130"/>
      <c r="B119" s="130"/>
      <c r="C119" s="128"/>
      <c r="D119" s="128"/>
      <c r="F119"/>
      <c r="H119"/>
      <c r="J119"/>
    </row>
    <row r="120" spans="1:10" ht="15.75" x14ac:dyDescent="0.2">
      <c r="A120" s="130"/>
      <c r="B120" s="130"/>
      <c r="C120" s="128"/>
      <c r="D120" s="128"/>
      <c r="F120"/>
      <c r="H120"/>
      <c r="J120"/>
    </row>
    <row r="121" spans="1:10" ht="15.75" x14ac:dyDescent="0.2">
      <c r="A121" s="130"/>
      <c r="B121" s="130"/>
      <c r="C121" s="128"/>
      <c r="D121" s="128"/>
      <c r="F121"/>
      <c r="H121"/>
      <c r="J121"/>
    </row>
    <row r="122" spans="1:10" ht="15.75" x14ac:dyDescent="0.2">
      <c r="A122" s="130"/>
      <c r="B122" s="130"/>
      <c r="C122" s="128"/>
      <c r="D122" s="128"/>
      <c r="F122"/>
      <c r="H122"/>
      <c r="J122"/>
    </row>
    <row r="123" spans="1:10" ht="15.75" x14ac:dyDescent="0.2">
      <c r="A123" s="130"/>
      <c r="B123" s="130"/>
      <c r="C123" s="128"/>
      <c r="D123" s="128"/>
      <c r="F123"/>
      <c r="H123"/>
      <c r="J123"/>
    </row>
    <row r="124" spans="1:10" ht="15.75" x14ac:dyDescent="0.2">
      <c r="A124" s="130"/>
      <c r="B124" s="130"/>
      <c r="C124" s="128"/>
      <c r="D124" s="128"/>
      <c r="F124"/>
      <c r="H124"/>
      <c r="J124"/>
    </row>
    <row r="125" spans="1:10" ht="15.75" x14ac:dyDescent="0.2">
      <c r="A125" s="130"/>
      <c r="B125" s="130"/>
      <c r="C125" s="128"/>
      <c r="D125" s="128"/>
      <c r="F125"/>
      <c r="H125"/>
      <c r="J125"/>
    </row>
    <row r="126" spans="1:10" ht="15.75" x14ac:dyDescent="0.2">
      <c r="A126" s="130"/>
      <c r="B126" s="130"/>
      <c r="C126" s="128"/>
      <c r="D126" s="128"/>
      <c r="F126"/>
      <c r="H126"/>
      <c r="J126"/>
    </row>
    <row r="127" spans="1:10" ht="15.75" x14ac:dyDescent="0.2">
      <c r="A127" s="130"/>
      <c r="B127" s="130"/>
      <c r="C127" s="128"/>
      <c r="D127" s="128"/>
      <c r="F127"/>
      <c r="H127"/>
      <c r="J127"/>
    </row>
    <row r="128" spans="1:10" ht="15.75" x14ac:dyDescent="0.2">
      <c r="A128" s="130"/>
      <c r="B128" s="130"/>
      <c r="C128" s="128"/>
      <c r="D128" s="128"/>
      <c r="F128"/>
      <c r="H128"/>
      <c r="J128"/>
    </row>
    <row r="129" spans="1:10" ht="15.75" x14ac:dyDescent="0.2">
      <c r="A129" s="130"/>
      <c r="B129" s="130"/>
      <c r="C129" s="128"/>
      <c r="D129" s="128"/>
      <c r="F129"/>
      <c r="H129"/>
      <c r="J129"/>
    </row>
    <row r="130" spans="1:10" ht="15.75" x14ac:dyDescent="0.2">
      <c r="A130" s="130"/>
      <c r="B130" s="130"/>
      <c r="C130" s="128"/>
      <c r="D130" s="128"/>
      <c r="F130"/>
      <c r="H130"/>
      <c r="J130"/>
    </row>
    <row r="131" spans="1:10" ht="15.75" x14ac:dyDescent="0.2">
      <c r="A131" s="130"/>
      <c r="B131" s="130"/>
      <c r="C131" s="128"/>
      <c r="D131" s="128"/>
      <c r="F131"/>
      <c r="H131"/>
      <c r="J131"/>
    </row>
    <row r="132" spans="1:10" ht="15.75" x14ac:dyDescent="0.2">
      <c r="A132" s="130"/>
      <c r="B132" s="130"/>
      <c r="C132" s="128"/>
      <c r="D132" s="128"/>
      <c r="F132"/>
      <c r="H132"/>
      <c r="J132"/>
    </row>
    <row r="133" spans="1:10" ht="15.75" x14ac:dyDescent="0.2">
      <c r="A133" s="130"/>
      <c r="B133" s="130"/>
      <c r="C133" s="128"/>
      <c r="D133" s="128"/>
      <c r="F133"/>
      <c r="H133"/>
      <c r="J133"/>
    </row>
    <row r="134" spans="1:10" ht="15.75" x14ac:dyDescent="0.2">
      <c r="A134" s="130"/>
      <c r="B134" s="130"/>
      <c r="C134" s="128"/>
      <c r="D134" s="128"/>
      <c r="F134"/>
      <c r="H134"/>
      <c r="J134"/>
    </row>
    <row r="135" spans="1:10" ht="15.75" x14ac:dyDescent="0.2">
      <c r="A135" s="130"/>
      <c r="B135" s="130"/>
      <c r="C135" s="128"/>
      <c r="D135" s="128"/>
      <c r="F135"/>
      <c r="H135"/>
      <c r="J135"/>
    </row>
    <row r="136" spans="1:10" ht="15.75" x14ac:dyDescent="0.2">
      <c r="A136" s="130"/>
      <c r="B136" s="130"/>
      <c r="C136" s="128"/>
      <c r="D136" s="128"/>
      <c r="F136"/>
      <c r="H136"/>
      <c r="J136"/>
    </row>
    <row r="137" spans="1:10" ht="15.75" x14ac:dyDescent="0.2">
      <c r="A137" s="130"/>
      <c r="B137" s="130"/>
      <c r="C137" s="128"/>
      <c r="D137" s="128"/>
      <c r="F137"/>
      <c r="H137"/>
      <c r="J137"/>
    </row>
    <row r="138" spans="1:10" ht="15.75" x14ac:dyDescent="0.2">
      <c r="A138" s="130"/>
      <c r="B138" s="130"/>
      <c r="C138" s="128"/>
      <c r="D138" s="128"/>
      <c r="F138"/>
      <c r="H138"/>
      <c r="J138"/>
    </row>
    <row r="139" spans="1:10" ht="15.75" x14ac:dyDescent="0.2">
      <c r="A139" s="130"/>
      <c r="B139" s="130"/>
      <c r="C139" s="128"/>
      <c r="D139" s="128"/>
      <c r="F139"/>
      <c r="H139"/>
      <c r="J139"/>
    </row>
    <row r="140" spans="1:10" ht="15.75" x14ac:dyDescent="0.2">
      <c r="A140" s="130"/>
      <c r="B140" s="130"/>
      <c r="C140" s="128"/>
      <c r="D140" s="128"/>
      <c r="F140"/>
      <c r="H140"/>
      <c r="J140"/>
    </row>
    <row r="141" spans="1:10" ht="15.75" x14ac:dyDescent="0.2">
      <c r="A141" s="130"/>
      <c r="B141" s="130"/>
      <c r="C141" s="128"/>
      <c r="D141" s="128"/>
      <c r="F141"/>
      <c r="H141"/>
      <c r="J141"/>
    </row>
    <row r="142" spans="1:10" ht="15.75" x14ac:dyDescent="0.2">
      <c r="A142" s="130"/>
      <c r="B142" s="130"/>
      <c r="C142" s="128"/>
      <c r="D142" s="128"/>
      <c r="F142"/>
      <c r="H142"/>
      <c r="J142"/>
    </row>
    <row r="143" spans="1:10" ht="15.75" x14ac:dyDescent="0.2">
      <c r="A143" s="130"/>
      <c r="B143" s="130"/>
      <c r="C143" s="128"/>
      <c r="D143" s="128"/>
      <c r="F143"/>
      <c r="H143"/>
      <c r="J143"/>
    </row>
    <row r="144" spans="1:10" ht="15.75" x14ac:dyDescent="0.2">
      <c r="A144" s="130"/>
      <c r="B144" s="130"/>
      <c r="C144" s="128"/>
      <c r="D144" s="128"/>
      <c r="F144"/>
      <c r="H144"/>
      <c r="J144"/>
    </row>
    <row r="145" spans="1:10" ht="15.75" x14ac:dyDescent="0.2">
      <c r="A145" s="130"/>
      <c r="B145" s="130"/>
      <c r="C145" s="128"/>
      <c r="D145" s="128"/>
      <c r="F145"/>
      <c r="H145"/>
      <c r="J145"/>
    </row>
    <row r="146" spans="1:10" ht="15.75" x14ac:dyDescent="0.2">
      <c r="A146" s="130"/>
      <c r="B146" s="130"/>
      <c r="C146" s="128"/>
      <c r="D146" s="128"/>
      <c r="F146"/>
      <c r="H146"/>
      <c r="J146"/>
    </row>
    <row r="147" spans="1:10" ht="15.75" x14ac:dyDescent="0.2">
      <c r="A147" s="130"/>
      <c r="B147" s="130"/>
      <c r="C147" s="128"/>
      <c r="D147" s="128"/>
      <c r="F147"/>
      <c r="H147"/>
      <c r="J147"/>
    </row>
    <row r="148" spans="1:10" ht="15.75" x14ac:dyDescent="0.2">
      <c r="A148" s="130"/>
      <c r="B148" s="130"/>
      <c r="C148" s="128"/>
      <c r="D148" s="128"/>
      <c r="F148"/>
      <c r="H148"/>
      <c r="J148"/>
    </row>
    <row r="149" spans="1:10" ht="15.75" x14ac:dyDescent="0.2">
      <c r="A149" s="130"/>
      <c r="B149" s="130"/>
      <c r="C149" s="128"/>
      <c r="D149" s="128"/>
      <c r="F149"/>
      <c r="H149"/>
      <c r="J149"/>
    </row>
    <row r="150" spans="1:10" ht="15.75" x14ac:dyDescent="0.2">
      <c r="A150" s="131"/>
      <c r="B150" s="132"/>
      <c r="C150" s="128"/>
      <c r="D150" s="128"/>
      <c r="F150"/>
      <c r="H150"/>
      <c r="J150"/>
    </row>
    <row r="151" spans="1:10" ht="15.75" x14ac:dyDescent="0.2">
      <c r="A151" s="132"/>
      <c r="B151" s="132"/>
      <c r="C151" s="128"/>
      <c r="D151" s="128"/>
      <c r="F151"/>
      <c r="H151"/>
      <c r="J151"/>
    </row>
    <row r="152" spans="1:10" ht="15.75" x14ac:dyDescent="0.2">
      <c r="A152" s="132"/>
      <c r="B152" s="132"/>
      <c r="C152" s="128"/>
      <c r="D152" s="128"/>
      <c r="F152"/>
      <c r="H152"/>
      <c r="J152"/>
    </row>
    <row r="153" spans="1:10" ht="15.75" x14ac:dyDescent="0.2">
      <c r="A153" s="132"/>
      <c r="B153" s="132"/>
      <c r="C153" s="128"/>
      <c r="D153" s="128"/>
      <c r="F153"/>
      <c r="H153"/>
      <c r="J153"/>
    </row>
    <row r="154" spans="1:10" ht="15.75" x14ac:dyDescent="0.2">
      <c r="A154" s="132"/>
      <c r="B154" s="132"/>
      <c r="C154" s="128"/>
      <c r="D154" s="128"/>
      <c r="F154"/>
      <c r="H154"/>
      <c r="J154"/>
    </row>
    <row r="155" spans="1:10" ht="15.75" x14ac:dyDescent="0.2">
      <c r="A155" s="132"/>
      <c r="B155" s="132"/>
      <c r="C155" s="128"/>
      <c r="D155" s="128"/>
      <c r="F155"/>
      <c r="H155"/>
      <c r="J155"/>
    </row>
    <row r="156" spans="1:10" ht="15.75" x14ac:dyDescent="0.2">
      <c r="A156" s="132"/>
      <c r="B156" s="132"/>
      <c r="C156" s="128"/>
      <c r="D156" s="128"/>
      <c r="F156"/>
      <c r="H156"/>
      <c r="J156"/>
    </row>
    <row r="157" spans="1:10" ht="15.75" x14ac:dyDescent="0.2">
      <c r="A157" s="132"/>
      <c r="B157" s="132"/>
      <c r="C157" s="128"/>
      <c r="D157" s="128"/>
      <c r="F157"/>
      <c r="H157"/>
      <c r="J157"/>
    </row>
    <row r="158" spans="1:10" ht="15.75" x14ac:dyDescent="0.2">
      <c r="A158" s="132"/>
      <c r="B158" s="132"/>
      <c r="C158" s="128"/>
      <c r="D158" s="128"/>
      <c r="F158"/>
      <c r="H158"/>
      <c r="J158"/>
    </row>
    <row r="159" spans="1:10" ht="15.75" x14ac:dyDescent="0.2">
      <c r="A159" s="132"/>
      <c r="B159" s="132"/>
      <c r="C159" s="128"/>
      <c r="D159" s="128"/>
      <c r="F159"/>
      <c r="H159"/>
      <c r="J159"/>
    </row>
    <row r="160" spans="1:10" ht="15.75" x14ac:dyDescent="0.2">
      <c r="A160" s="132"/>
      <c r="B160" s="132"/>
      <c r="C160" s="128"/>
      <c r="D160" s="128"/>
      <c r="F160"/>
      <c r="H160"/>
      <c r="J160"/>
    </row>
    <row r="161" spans="1:10" ht="15.75" x14ac:dyDescent="0.2">
      <c r="A161" s="132"/>
      <c r="B161" s="132"/>
      <c r="C161" s="128"/>
      <c r="D161" s="128"/>
      <c r="F161"/>
      <c r="H161"/>
      <c r="J161"/>
    </row>
    <row r="162" spans="1:10" ht="15.75" x14ac:dyDescent="0.2">
      <c r="A162" s="132"/>
      <c r="B162" s="132"/>
      <c r="C162" s="128"/>
      <c r="D162" s="128"/>
      <c r="F162"/>
      <c r="H162"/>
      <c r="J162"/>
    </row>
    <row r="163" spans="1:10" ht="15.75" x14ac:dyDescent="0.2">
      <c r="A163" s="132"/>
      <c r="B163" s="132"/>
      <c r="C163" s="128"/>
      <c r="D163" s="128"/>
      <c r="F163"/>
      <c r="H163"/>
      <c r="J163"/>
    </row>
    <row r="164" spans="1:10" ht="15.75" x14ac:dyDescent="0.2">
      <c r="A164" s="132"/>
      <c r="B164" s="132"/>
      <c r="C164" s="128"/>
      <c r="D164" s="128"/>
      <c r="F164"/>
      <c r="H164"/>
      <c r="J164"/>
    </row>
    <row r="165" spans="1:10" ht="15.75" x14ac:dyDescent="0.2">
      <c r="A165" s="132"/>
      <c r="B165" s="132"/>
      <c r="C165" s="128"/>
      <c r="D165" s="128"/>
      <c r="F165"/>
      <c r="H165"/>
      <c r="J165"/>
    </row>
    <row r="166" spans="1:10" ht="15.75" x14ac:dyDescent="0.2">
      <c r="A166" s="132"/>
      <c r="B166" s="132"/>
      <c r="C166" s="128"/>
      <c r="D166" s="128"/>
      <c r="F166"/>
      <c r="H166"/>
      <c r="J166"/>
    </row>
    <row r="167" spans="1:10" ht="15.75" x14ac:dyDescent="0.2">
      <c r="A167" s="132"/>
      <c r="B167" s="131"/>
      <c r="C167" s="128"/>
      <c r="D167" s="128"/>
      <c r="F167"/>
      <c r="H167"/>
      <c r="J167"/>
    </row>
    <row r="168" spans="1:10" ht="15.75" x14ac:dyDescent="0.2">
      <c r="A168" s="132"/>
      <c r="B168" s="132"/>
      <c r="C168" s="128"/>
      <c r="D168" s="128"/>
      <c r="F168"/>
      <c r="H168"/>
      <c r="J168"/>
    </row>
    <row r="169" spans="1:10" ht="15.75" x14ac:dyDescent="0.2">
      <c r="A169" s="132"/>
      <c r="B169" s="132"/>
      <c r="C169" s="128"/>
      <c r="D169" s="128"/>
      <c r="F169"/>
      <c r="H169"/>
      <c r="J169"/>
    </row>
    <row r="170" spans="1:10" ht="15.75" x14ac:dyDescent="0.2">
      <c r="A170" s="132"/>
      <c r="B170" s="132"/>
      <c r="C170" s="128"/>
      <c r="D170" s="128"/>
      <c r="F170"/>
      <c r="H170"/>
      <c r="J170"/>
    </row>
    <row r="171" spans="1:10" ht="15.75" x14ac:dyDescent="0.2">
      <c r="A171" s="132"/>
      <c r="B171" s="132"/>
      <c r="C171" s="128"/>
      <c r="D171" s="128"/>
      <c r="F171"/>
      <c r="H171"/>
      <c r="J171"/>
    </row>
    <row r="172" spans="1:10" ht="15.75" x14ac:dyDescent="0.2">
      <c r="A172" s="132"/>
      <c r="B172" s="132"/>
      <c r="C172" s="128"/>
      <c r="D172" s="128"/>
      <c r="F172"/>
      <c r="H172"/>
      <c r="J172"/>
    </row>
    <row r="173" spans="1:10" ht="15.75" x14ac:dyDescent="0.2">
      <c r="A173" s="132"/>
      <c r="B173" s="132"/>
      <c r="C173" s="128"/>
      <c r="D173" s="128"/>
      <c r="F173"/>
      <c r="H173"/>
      <c r="J173"/>
    </row>
    <row r="174" spans="1:10" ht="15.75" x14ac:dyDescent="0.2">
      <c r="A174" s="132"/>
      <c r="B174" s="132"/>
      <c r="C174" s="128"/>
      <c r="D174" s="128"/>
      <c r="F174"/>
      <c r="H174"/>
      <c r="J174"/>
    </row>
    <row r="175" spans="1:10" ht="15.75" x14ac:dyDescent="0.2">
      <c r="A175" s="132"/>
      <c r="B175" s="132"/>
      <c r="C175" s="128"/>
      <c r="D175" s="128"/>
      <c r="F175"/>
      <c r="H175"/>
      <c r="J175"/>
    </row>
    <row r="176" spans="1:10" ht="15.75" x14ac:dyDescent="0.2">
      <c r="A176" s="132"/>
      <c r="B176" s="132"/>
      <c r="C176" s="128"/>
      <c r="D176" s="128"/>
      <c r="F176"/>
      <c r="H176"/>
      <c r="J176"/>
    </row>
    <row r="177" spans="1:10" ht="15.75" x14ac:dyDescent="0.2">
      <c r="A177" s="132"/>
      <c r="B177" s="132"/>
      <c r="C177" s="128"/>
      <c r="D177" s="128"/>
      <c r="F177"/>
      <c r="H177"/>
      <c r="J177"/>
    </row>
    <row r="178" spans="1:10" ht="15.75" x14ac:dyDescent="0.2">
      <c r="A178" s="132"/>
      <c r="B178" s="129"/>
      <c r="C178" s="128"/>
      <c r="D178" s="128"/>
      <c r="F178"/>
      <c r="H178"/>
      <c r="J178"/>
    </row>
  </sheetData>
  <mergeCells count="3">
    <mergeCell ref="A24:B24"/>
    <mergeCell ref="D24:H24"/>
    <mergeCell ref="J24:N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28" workbookViewId="0">
      <selection activeCell="A28" sqref="A28"/>
    </sheetView>
  </sheetViews>
  <sheetFormatPr defaultRowHeight="12.75" x14ac:dyDescent="0.2"/>
  <cols>
    <col min="1" max="1" width="32.7109375" bestFit="1" customWidth="1"/>
    <col min="3" max="3" width="19.42578125" bestFit="1" customWidth="1"/>
  </cols>
  <sheetData>
    <row r="1" spans="1:4" hidden="1" x14ac:dyDescent="0.2">
      <c r="A1" s="2" t="s">
        <v>14</v>
      </c>
      <c r="C1" s="253" t="s">
        <v>141</v>
      </c>
    </row>
    <row r="2" spans="1:4" hidden="1" x14ac:dyDescent="0.2">
      <c r="A2" s="2" t="s">
        <v>7</v>
      </c>
      <c r="C2" s="17" t="s">
        <v>142</v>
      </c>
      <c r="D2" t="s">
        <v>212</v>
      </c>
    </row>
    <row r="3" spans="1:4" hidden="1" x14ac:dyDescent="0.2">
      <c r="A3" s="2" t="s">
        <v>15</v>
      </c>
      <c r="C3" s="17" t="s">
        <v>143</v>
      </c>
      <c r="D3" t="s">
        <v>212</v>
      </c>
    </row>
    <row r="4" spans="1:4" hidden="1" x14ac:dyDescent="0.2">
      <c r="A4" s="2" t="s">
        <v>16</v>
      </c>
      <c r="C4" s="263" t="s">
        <v>144</v>
      </c>
    </row>
    <row r="5" spans="1:4" hidden="1" x14ac:dyDescent="0.2">
      <c r="A5" s="2" t="s">
        <v>17</v>
      </c>
      <c r="C5" s="17" t="s">
        <v>145</v>
      </c>
      <c r="D5" t="s">
        <v>212</v>
      </c>
    </row>
    <row r="6" spans="1:4" hidden="1" x14ac:dyDescent="0.2">
      <c r="A6" s="2" t="s">
        <v>18</v>
      </c>
      <c r="C6" s="253" t="s">
        <v>146</v>
      </c>
    </row>
    <row r="7" spans="1:4" hidden="1" x14ac:dyDescent="0.2">
      <c r="A7" s="2" t="s">
        <v>19</v>
      </c>
      <c r="C7" s="263" t="s">
        <v>147</v>
      </c>
    </row>
    <row r="8" spans="1:4" hidden="1" x14ac:dyDescent="0.2">
      <c r="A8" s="2" t="s">
        <v>20</v>
      </c>
      <c r="C8" s="253" t="s">
        <v>208</v>
      </c>
    </row>
    <row r="9" spans="1:4" hidden="1" x14ac:dyDescent="0.2">
      <c r="A9" s="2" t="s">
        <v>21</v>
      </c>
    </row>
    <row r="10" spans="1:4" hidden="1" x14ac:dyDescent="0.2">
      <c r="A10" s="2" t="s">
        <v>22</v>
      </c>
    </row>
    <row r="11" spans="1:4" hidden="1" x14ac:dyDescent="0.2">
      <c r="A11" s="2" t="s">
        <v>23</v>
      </c>
    </row>
    <row r="12" spans="1:4" hidden="1" x14ac:dyDescent="0.2">
      <c r="A12" s="2" t="s">
        <v>24</v>
      </c>
    </row>
    <row r="13" spans="1:4" hidden="1" x14ac:dyDescent="0.2">
      <c r="A13" s="2" t="s">
        <v>25</v>
      </c>
    </row>
    <row r="14" spans="1:4" hidden="1" x14ac:dyDescent="0.2">
      <c r="A14" s="2" t="s">
        <v>26</v>
      </c>
    </row>
    <row r="15" spans="1:4" hidden="1" x14ac:dyDescent="0.2">
      <c r="A15" s="2" t="s">
        <v>27</v>
      </c>
    </row>
    <row r="16" spans="1:4" hidden="1" x14ac:dyDescent="0.2">
      <c r="A16" s="2" t="s">
        <v>29</v>
      </c>
    </row>
    <row r="17" spans="1:1" hidden="1" x14ac:dyDescent="0.2">
      <c r="A17" s="2" t="s">
        <v>28</v>
      </c>
    </row>
    <row r="18" spans="1:1" hidden="1" x14ac:dyDescent="0.2">
      <c r="A18" s="2" t="s">
        <v>30</v>
      </c>
    </row>
    <row r="19" spans="1:1" hidden="1" x14ac:dyDescent="0.2">
      <c r="A19" s="2" t="s">
        <v>31</v>
      </c>
    </row>
    <row r="20" spans="1:1" hidden="1" x14ac:dyDescent="0.2">
      <c r="A20" s="2" t="s">
        <v>32</v>
      </c>
    </row>
    <row r="21" spans="1:1" hidden="1" x14ac:dyDescent="0.2">
      <c r="A21" s="43" t="s">
        <v>43</v>
      </c>
    </row>
    <row r="22" spans="1:1" hidden="1" x14ac:dyDescent="0.2">
      <c r="A22" s="42" t="s">
        <v>39</v>
      </c>
    </row>
    <row r="23" spans="1:1" hidden="1" x14ac:dyDescent="0.2">
      <c r="A23" s="43" t="s">
        <v>45</v>
      </c>
    </row>
    <row r="24" spans="1:1" hidden="1" x14ac:dyDescent="0.2">
      <c r="A24" s="42" t="s">
        <v>40</v>
      </c>
    </row>
    <row r="25" spans="1:1" hidden="1" x14ac:dyDescent="0.2">
      <c r="A25" s="43" t="s">
        <v>44</v>
      </c>
    </row>
    <row r="26" spans="1:1" hidden="1" x14ac:dyDescent="0.2">
      <c r="A26" s="42" t="s">
        <v>41</v>
      </c>
    </row>
    <row r="27" spans="1:1" hidden="1" x14ac:dyDescent="0.2">
      <c r="A27" s="43" t="s">
        <v>42</v>
      </c>
    </row>
    <row r="29" spans="1:1" x14ac:dyDescent="0.2">
      <c r="A29" s="248" t="s">
        <v>231</v>
      </c>
    </row>
    <row r="30" spans="1:1" x14ac:dyDescent="0.2">
      <c r="A30" s="248" t="s">
        <v>226</v>
      </c>
    </row>
    <row r="31" spans="1:1" x14ac:dyDescent="0.2">
      <c r="A31" s="248" t="s">
        <v>141</v>
      </c>
    </row>
    <row r="32" spans="1:1" x14ac:dyDescent="0.2">
      <c r="A32" s="248" t="s">
        <v>237</v>
      </c>
    </row>
    <row r="35" spans="1:1" x14ac:dyDescent="0.2">
      <c r="A35" s="248"/>
    </row>
    <row r="36" spans="1:1" x14ac:dyDescent="0.2">
      <c r="A36" s="190"/>
    </row>
    <row r="37" spans="1:1" x14ac:dyDescent="0.2">
      <c r="A37" s="189"/>
    </row>
    <row r="38" spans="1:1" x14ac:dyDescent="0.2">
      <c r="A38" s="189"/>
    </row>
    <row r="39" spans="1:1" x14ac:dyDescent="0.2">
      <c r="A39" s="189"/>
    </row>
    <row r="40" spans="1:1" x14ac:dyDescent="0.2">
      <c r="A40" s="189"/>
    </row>
    <row r="41" spans="1:1" x14ac:dyDescent="0.2">
      <c r="A41" s="189"/>
    </row>
    <row r="42" spans="1:1" x14ac:dyDescent="0.2">
      <c r="A42" s="248" t="s">
        <v>225</v>
      </c>
    </row>
    <row r="43" spans="1:1" x14ac:dyDescent="0.2">
      <c r="A43" s="248" t="s">
        <v>227</v>
      </c>
    </row>
    <row r="44" spans="1:1" x14ac:dyDescent="0.2">
      <c r="A44" s="248" t="s">
        <v>228</v>
      </c>
    </row>
    <row r="45" spans="1:1" x14ac:dyDescent="0.2">
      <c r="A45" s="248" t="s">
        <v>229</v>
      </c>
    </row>
    <row r="46" spans="1:1" x14ac:dyDescent="0.2">
      <c r="A46" s="190" t="s">
        <v>230</v>
      </c>
    </row>
    <row r="47" spans="1:1" x14ac:dyDescent="0.2">
      <c r="A47" s="190" t="s">
        <v>210</v>
      </c>
    </row>
    <row r="48" spans="1:1" x14ac:dyDescent="0.2">
      <c r="A48" s="248"/>
    </row>
  </sheetData>
  <dataValidations count="1">
    <dataValidation type="list" allowBlank="1" showInputMessage="1" showErrorMessage="1" sqref="A29:A32">
      <formula1>$A$29:$A$32</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193"/>
  <sheetViews>
    <sheetView zoomScale="80" zoomScaleNormal="80" zoomScaleSheetLayoutView="80" workbookViewId="0"/>
  </sheetViews>
  <sheetFormatPr defaultRowHeight="12.75" x14ac:dyDescent="0.2"/>
  <cols>
    <col min="1" max="1" width="4.42578125" customWidth="1"/>
    <col min="2" max="2" width="10.42578125" customWidth="1"/>
    <col min="3" max="3" width="6.28515625" bestFit="1" customWidth="1"/>
    <col min="4" max="4" width="12.7109375" bestFit="1" customWidth="1"/>
    <col min="5" max="5" width="12.7109375" style="44" bestFit="1" customWidth="1"/>
    <col min="6" max="6" width="12.5703125" style="44" customWidth="1"/>
    <col min="7" max="7" width="12.7109375" style="44" bestFit="1" customWidth="1"/>
    <col min="8" max="8" width="12.7109375" style="44" customWidth="1"/>
    <col min="9" max="9" width="2" style="44" customWidth="1"/>
    <col min="10" max="10" width="12" style="44" bestFit="1" customWidth="1"/>
    <col min="11" max="11" width="12" style="44" customWidth="1"/>
    <col min="12" max="12" width="13.42578125" style="44" customWidth="1"/>
    <col min="13" max="13" width="11.7109375" style="116" customWidth="1"/>
    <col min="14" max="14" width="19.85546875" style="44" bestFit="1" customWidth="1"/>
    <col min="15" max="15" width="13.5703125" style="44" bestFit="1" customWidth="1"/>
    <col min="16" max="16" width="12.7109375" style="44" bestFit="1" customWidth="1"/>
    <col min="17" max="17" width="14" style="44" bestFit="1" customWidth="1"/>
    <col min="18" max="18" width="12.7109375" style="116" bestFit="1" customWidth="1"/>
    <col min="19" max="19" width="28.7109375" style="116" customWidth="1"/>
    <col min="20" max="21" width="12.7109375" style="116" customWidth="1"/>
    <col min="22" max="22" width="14" style="116" bestFit="1" customWidth="1"/>
    <col min="23" max="23" width="9.28515625" style="17" customWidth="1"/>
    <col min="24" max="24" width="1.140625" customWidth="1"/>
    <col min="25" max="25" width="11.28515625" customWidth="1"/>
    <col min="26" max="26" width="10.28515625" style="11" customWidth="1"/>
    <col min="27" max="27" width="1.42578125" style="11" customWidth="1"/>
    <col min="28" max="28" width="9.28515625" bestFit="1" customWidth="1"/>
    <col min="29" max="31" width="9.85546875" bestFit="1" customWidth="1"/>
    <col min="32" max="32" width="9.7109375" bestFit="1" customWidth="1"/>
    <col min="33" max="33" width="1.7109375" customWidth="1"/>
  </cols>
  <sheetData>
    <row r="2" spans="2:38" x14ac:dyDescent="0.2">
      <c r="X2" s="13" t="s">
        <v>34</v>
      </c>
      <c r="Y2" s="32">
        <v>6.28</v>
      </c>
      <c r="Z2" s="14">
        <v>12</v>
      </c>
      <c r="AA2" s="14">
        <v>2</v>
      </c>
      <c r="AB2">
        <v>1</v>
      </c>
      <c r="AC2">
        <v>2</v>
      </c>
      <c r="AD2">
        <v>3</v>
      </c>
      <c r="AE2">
        <v>4</v>
      </c>
      <c r="AF2">
        <v>5</v>
      </c>
      <c r="AH2">
        <v>1</v>
      </c>
      <c r="AI2">
        <v>2</v>
      </c>
      <c r="AJ2">
        <v>3</v>
      </c>
      <c r="AK2">
        <v>4</v>
      </c>
      <c r="AL2">
        <v>5</v>
      </c>
    </row>
    <row r="3" spans="2:38" ht="13.5" thickBot="1" x14ac:dyDescent="0.25">
      <c r="W3" s="55" t="s">
        <v>36</v>
      </c>
      <c r="X3" s="13"/>
      <c r="Y3" s="12"/>
      <c r="Z3" s="14"/>
      <c r="AA3" s="14"/>
      <c r="AB3" s="34" t="s">
        <v>37</v>
      </c>
      <c r="AC3" s="34"/>
      <c r="AD3" s="34"/>
      <c r="AE3" s="34"/>
      <c r="AF3" s="34"/>
      <c r="AH3" s="34" t="s">
        <v>38</v>
      </c>
      <c r="AI3" s="34"/>
      <c r="AJ3" s="34"/>
      <c r="AK3" s="34"/>
      <c r="AL3" s="34"/>
    </row>
    <row r="4" spans="2:38" x14ac:dyDescent="0.2">
      <c r="B4" s="53" t="s">
        <v>51</v>
      </c>
      <c r="C4" s="19"/>
      <c r="D4" s="19" t="s">
        <v>2</v>
      </c>
      <c r="E4" s="45" t="s">
        <v>3</v>
      </c>
      <c r="F4" s="45" t="s">
        <v>4</v>
      </c>
      <c r="G4" s="45" t="s">
        <v>5</v>
      </c>
      <c r="H4" s="45" t="s">
        <v>6</v>
      </c>
      <c r="I4" s="45"/>
      <c r="J4" s="45"/>
      <c r="K4" s="45"/>
      <c r="L4" s="46"/>
      <c r="M4" s="124"/>
      <c r="N4" s="62"/>
      <c r="O4" s="62"/>
      <c r="P4" s="62"/>
      <c r="Q4" s="62"/>
      <c r="R4" s="124"/>
      <c r="S4" s="124"/>
      <c r="T4" s="124"/>
      <c r="U4" s="124"/>
      <c r="V4" s="124"/>
      <c r="W4" s="26"/>
      <c r="X4" s="21"/>
      <c r="Y4" s="22"/>
      <c r="Z4" s="23"/>
      <c r="AA4" s="23"/>
      <c r="AB4" s="20"/>
      <c r="AC4" s="20"/>
      <c r="AD4" s="20"/>
      <c r="AE4" s="20"/>
      <c r="AF4" s="20"/>
    </row>
    <row r="5" spans="2:38" s="17" customFormat="1" x14ac:dyDescent="0.2">
      <c r="B5" s="24" t="s">
        <v>9</v>
      </c>
      <c r="C5" s="25"/>
      <c r="D5" s="25">
        <v>1.5</v>
      </c>
      <c r="E5" s="47">
        <v>1.5</v>
      </c>
      <c r="F5" s="47">
        <v>1.5</v>
      </c>
      <c r="G5" s="47">
        <v>1.5</v>
      </c>
      <c r="H5" s="47">
        <v>1.5</v>
      </c>
      <c r="I5" s="47"/>
      <c r="J5" s="54">
        <f>SUM(D5:I5)*40</f>
        <v>300</v>
      </c>
      <c r="K5" s="47">
        <f>5*10.5*12</f>
        <v>630</v>
      </c>
      <c r="L5" s="48">
        <f>K5+J5</f>
        <v>930</v>
      </c>
      <c r="M5" s="117"/>
      <c r="N5" s="47"/>
      <c r="O5" s="47"/>
      <c r="P5" s="47"/>
      <c r="Q5" s="47"/>
      <c r="R5" s="117"/>
      <c r="S5" s="117"/>
      <c r="T5" s="117"/>
      <c r="U5" s="117"/>
      <c r="V5" s="117"/>
      <c r="W5" s="27">
        <f>+L5/5</f>
        <v>186</v>
      </c>
      <c r="X5" s="26"/>
      <c r="Y5" s="28">
        <f>+W5*$Y$2</f>
        <v>1168.0800000000002</v>
      </c>
      <c r="Z5" s="28">
        <f>+Y5/$Z$2</f>
        <v>97.340000000000018</v>
      </c>
      <c r="AA5" s="28"/>
      <c r="AB5" s="28">
        <f>+Z5*$AB$2</f>
        <v>97.340000000000018</v>
      </c>
      <c r="AC5" s="28">
        <f>+Z5*$AC$2</f>
        <v>194.68000000000004</v>
      </c>
      <c r="AD5" s="28">
        <f>+Z5*$AD$2</f>
        <v>292.02000000000004</v>
      </c>
      <c r="AE5" s="28">
        <f>+Z5*$AE$2</f>
        <v>389.36000000000007</v>
      </c>
      <c r="AF5" s="28">
        <f>+Z5*$AF$2</f>
        <v>486.7000000000001</v>
      </c>
      <c r="AH5" s="33">
        <f>+W5/12</f>
        <v>15.5</v>
      </c>
      <c r="AI5" s="18">
        <f>+AH5*$AI$2</f>
        <v>31</v>
      </c>
      <c r="AJ5" s="18">
        <f>+AH5*$AJ$2</f>
        <v>46.5</v>
      </c>
      <c r="AK5" s="18">
        <f>+AH5*$AK$2</f>
        <v>62</v>
      </c>
      <c r="AL5" s="18">
        <f>+AH5*$AL$2</f>
        <v>77.5</v>
      </c>
    </row>
    <row r="6" spans="2:38" s="17" customFormat="1" x14ac:dyDescent="0.2">
      <c r="B6" s="24" t="s">
        <v>10</v>
      </c>
      <c r="C6" s="25"/>
      <c r="D6" s="25">
        <f>D5+D7</f>
        <v>4.5</v>
      </c>
      <c r="E6" s="47">
        <f>E5+E7</f>
        <v>4.5</v>
      </c>
      <c r="F6" s="47">
        <f>F5+F7</f>
        <v>7.5</v>
      </c>
      <c r="G6" s="47">
        <f>G5+G7</f>
        <v>4.5</v>
      </c>
      <c r="H6" s="47">
        <f>H5+H7</f>
        <v>4.5</v>
      </c>
      <c r="I6" s="47"/>
      <c r="J6" s="47">
        <f>SUM(D6:I6)*40</f>
        <v>1020</v>
      </c>
      <c r="K6" s="47">
        <f>5*10.5*12</f>
        <v>630</v>
      </c>
      <c r="L6" s="48">
        <f>K6+J6</f>
        <v>1650</v>
      </c>
      <c r="M6" s="117"/>
      <c r="N6" s="47"/>
      <c r="O6" s="47"/>
      <c r="P6" s="47"/>
      <c r="Q6" s="47"/>
      <c r="R6" s="117"/>
      <c r="S6" s="117"/>
      <c r="T6" s="117"/>
      <c r="U6" s="117"/>
      <c r="V6" s="117"/>
      <c r="W6" s="27">
        <f>+L6/5</f>
        <v>330</v>
      </c>
      <c r="X6" s="26"/>
      <c r="Y6" s="28">
        <f>+W6*$Y$2</f>
        <v>2072.4</v>
      </c>
      <c r="Z6" s="29">
        <f>+Y6/$Z$2</f>
        <v>172.70000000000002</v>
      </c>
      <c r="AA6" s="28">
        <f>+Z6/$AA$2</f>
        <v>86.350000000000009</v>
      </c>
      <c r="AB6" s="28">
        <f>+Z6*$AB$2</f>
        <v>172.70000000000002</v>
      </c>
      <c r="AC6" s="28">
        <f>+Z6*$AC$2</f>
        <v>345.40000000000003</v>
      </c>
      <c r="AD6" s="28">
        <f>+Z6*$AD$2</f>
        <v>518.1</v>
      </c>
      <c r="AE6" s="28">
        <f>+Z6*$AE$2</f>
        <v>690.80000000000007</v>
      </c>
      <c r="AF6" s="28">
        <f>+Z6*$AF$2</f>
        <v>863.50000000000011</v>
      </c>
      <c r="AH6" s="33">
        <f>+W6/12</f>
        <v>27.5</v>
      </c>
      <c r="AI6" s="18">
        <f t="shared" ref="AI6:AI7" si="0">+AH6*$AI$2</f>
        <v>55</v>
      </c>
      <c r="AJ6" s="18">
        <f t="shared" ref="AJ6:AJ7" si="1">+AH6*$AJ$2</f>
        <v>82.5</v>
      </c>
      <c r="AK6" s="18">
        <f t="shared" ref="AK6:AK7" si="2">+AH6*$AK$2</f>
        <v>110</v>
      </c>
      <c r="AL6" s="18">
        <f t="shared" ref="AL6:AL7" si="3">+AH6*$AL$2</f>
        <v>137.5</v>
      </c>
    </row>
    <row r="7" spans="2:38" s="17" customFormat="1" x14ac:dyDescent="0.2">
      <c r="B7" s="24" t="s">
        <v>11</v>
      </c>
      <c r="C7" s="25"/>
      <c r="D7" s="25">
        <v>3</v>
      </c>
      <c r="E7" s="47">
        <v>3</v>
      </c>
      <c r="F7" s="47">
        <v>6</v>
      </c>
      <c r="G7" s="47">
        <v>3</v>
      </c>
      <c r="H7" s="47">
        <v>3</v>
      </c>
      <c r="I7" s="47"/>
      <c r="J7" s="47">
        <f>SUM(D7:I7)*40</f>
        <v>720</v>
      </c>
      <c r="K7" s="47">
        <f>5*10.5*12</f>
        <v>630</v>
      </c>
      <c r="L7" s="48">
        <f>K7+J7</f>
        <v>1350</v>
      </c>
      <c r="M7" s="117"/>
      <c r="N7" s="47"/>
      <c r="O7" s="47"/>
      <c r="P7" s="47"/>
      <c r="Q7" s="47"/>
      <c r="R7" s="117"/>
      <c r="S7" s="117"/>
      <c r="T7" s="117"/>
      <c r="U7" s="117"/>
      <c r="V7" s="117"/>
      <c r="W7" s="27">
        <f>+L7/5</f>
        <v>270</v>
      </c>
      <c r="X7" s="26"/>
      <c r="Y7" s="28">
        <f>+W7*$Y$2</f>
        <v>1695.6000000000001</v>
      </c>
      <c r="Z7" s="28">
        <f>+Y7/$Z$2</f>
        <v>141.30000000000001</v>
      </c>
      <c r="AA7" s="28"/>
      <c r="AB7" s="28">
        <f>+Z7*$AB$2</f>
        <v>141.30000000000001</v>
      </c>
      <c r="AC7" s="28">
        <f>+Z7*$AC$2</f>
        <v>282.60000000000002</v>
      </c>
      <c r="AD7" s="28">
        <f>+Z7*$AD$2</f>
        <v>423.90000000000003</v>
      </c>
      <c r="AE7" s="28">
        <f>+Z7*$AE$2</f>
        <v>565.20000000000005</v>
      </c>
      <c r="AF7" s="28">
        <f>+Z7*$AF$2</f>
        <v>706.5</v>
      </c>
      <c r="AH7" s="33">
        <f>+W7/12</f>
        <v>22.5</v>
      </c>
      <c r="AI7" s="18">
        <f t="shared" si="0"/>
        <v>45</v>
      </c>
      <c r="AJ7" s="18">
        <f t="shared" si="1"/>
        <v>67.5</v>
      </c>
      <c r="AK7" s="18">
        <f t="shared" si="2"/>
        <v>90</v>
      </c>
      <c r="AL7" s="18">
        <f t="shared" si="3"/>
        <v>112.5</v>
      </c>
    </row>
    <row r="8" spans="2:38" s="17" customFormat="1" ht="13.5" thickBot="1" x14ac:dyDescent="0.25">
      <c r="B8" s="30"/>
      <c r="C8" s="31"/>
      <c r="D8" s="31"/>
      <c r="E8" s="49"/>
      <c r="F8" s="49"/>
      <c r="G8" s="49"/>
      <c r="H8" s="49"/>
      <c r="I8" s="49"/>
      <c r="J8" s="49"/>
      <c r="K8" s="49" t="s">
        <v>13</v>
      </c>
      <c r="L8" s="50">
        <f>10%*L5+20%*L6+70%*L7</f>
        <v>1368</v>
      </c>
      <c r="M8" s="117"/>
      <c r="N8" s="47"/>
      <c r="O8" s="47"/>
      <c r="P8" s="47"/>
      <c r="Q8" s="47"/>
      <c r="R8" s="117"/>
      <c r="S8" s="117"/>
      <c r="T8" s="117"/>
      <c r="U8" s="117"/>
      <c r="V8" s="117"/>
      <c r="W8" s="26"/>
      <c r="X8" s="26"/>
      <c r="Y8" s="26"/>
      <c r="Z8" s="28"/>
      <c r="AA8" s="28"/>
      <c r="AB8" s="26"/>
      <c r="AC8" s="26"/>
      <c r="AD8" s="26"/>
      <c r="AE8" s="26"/>
      <c r="AF8" s="26"/>
    </row>
    <row r="9" spans="2:38" s="17" customFormat="1" ht="25.5" x14ac:dyDescent="0.2">
      <c r="B9" s="25"/>
      <c r="C9" s="25"/>
      <c r="D9" s="25"/>
      <c r="E9" s="47"/>
      <c r="F9" s="47"/>
      <c r="G9" s="47"/>
      <c r="H9" s="47"/>
      <c r="I9" s="47"/>
      <c r="J9" s="47"/>
      <c r="K9" s="47"/>
      <c r="L9" s="47"/>
      <c r="M9" s="117"/>
      <c r="N9" s="146"/>
      <c r="O9" s="147"/>
      <c r="P9" s="148" t="s">
        <v>105</v>
      </c>
      <c r="Q9" s="148" t="s">
        <v>119</v>
      </c>
      <c r="R9" s="149" t="s">
        <v>106</v>
      </c>
      <c r="S9" s="192"/>
      <c r="T9" s="192"/>
      <c r="U9" s="192"/>
      <c r="V9" s="117"/>
      <c r="W9" s="26"/>
      <c r="X9" s="26"/>
      <c r="Y9" s="26"/>
      <c r="Z9" s="28"/>
      <c r="AA9" s="28"/>
      <c r="AB9" s="26"/>
      <c r="AC9" s="26"/>
      <c r="AD9" s="26"/>
      <c r="AE9" s="26"/>
      <c r="AF9" s="26"/>
    </row>
    <row r="10" spans="2:38" s="17" customFormat="1" x14ac:dyDescent="0.2">
      <c r="B10" s="25"/>
      <c r="C10" s="25"/>
      <c r="D10" s="25"/>
      <c r="E10" s="47"/>
      <c r="F10" s="47"/>
      <c r="G10" s="47"/>
      <c r="H10" s="47"/>
      <c r="I10" s="47"/>
      <c r="J10" s="172" t="s">
        <v>54</v>
      </c>
      <c r="K10" s="173" t="s">
        <v>52</v>
      </c>
      <c r="L10" s="47"/>
      <c r="M10" s="117"/>
      <c r="N10" s="150"/>
      <c r="O10" s="10" t="s">
        <v>107</v>
      </c>
      <c r="P10" s="10"/>
      <c r="Q10" s="151">
        <v>0.05</v>
      </c>
      <c r="R10" s="152">
        <v>0.12</v>
      </c>
      <c r="S10" s="193"/>
      <c r="T10" s="193"/>
      <c r="U10" s="193"/>
      <c r="V10" s="117"/>
      <c r="W10" s="26"/>
      <c r="X10" s="26"/>
      <c r="Y10" s="26"/>
      <c r="Z10" s="28"/>
      <c r="AA10" s="28"/>
      <c r="AB10" s="26"/>
      <c r="AC10" s="26"/>
      <c r="AD10" s="26"/>
      <c r="AE10" s="26"/>
      <c r="AF10" s="26"/>
    </row>
    <row r="11" spans="2:38" s="17" customFormat="1" x14ac:dyDescent="0.2">
      <c r="B11" s="25"/>
      <c r="C11" s="25"/>
      <c r="D11" s="25"/>
      <c r="E11" s="47"/>
      <c r="F11" s="47"/>
      <c r="G11" s="47"/>
      <c r="H11" s="47"/>
      <c r="I11" s="47"/>
      <c r="J11" s="106">
        <v>40</v>
      </c>
      <c r="K11" s="174">
        <f>52-J11</f>
        <v>12</v>
      </c>
      <c r="L11" s="47"/>
      <c r="M11" s="117"/>
      <c r="N11" s="153" t="s">
        <v>108</v>
      </c>
      <c r="O11" s="154">
        <v>1</v>
      </c>
      <c r="P11" s="155">
        <f>100%-Q11-R11</f>
        <v>0.15</v>
      </c>
      <c r="Q11" s="156">
        <v>0.75</v>
      </c>
      <c r="R11" s="157">
        <v>0.1</v>
      </c>
      <c r="S11" s="194"/>
      <c r="T11" s="194"/>
      <c r="U11" s="194"/>
      <c r="V11" s="117"/>
      <c r="W11" s="26"/>
      <c r="X11" s="26"/>
      <c r="Y11" s="26"/>
      <c r="Z11" s="28"/>
      <c r="AA11" s="28"/>
      <c r="AB11" s="26"/>
      <c r="AC11" s="26"/>
      <c r="AD11" s="26"/>
      <c r="AE11" s="26"/>
      <c r="AF11" s="26"/>
    </row>
    <row r="12" spans="2:38" s="17" customFormat="1" ht="13.5" thickBot="1" x14ac:dyDescent="0.25">
      <c r="B12" s="25"/>
      <c r="C12" s="25"/>
      <c r="D12" s="25"/>
      <c r="E12" s="47"/>
      <c r="F12" s="47"/>
      <c r="G12" s="47"/>
      <c r="H12" s="47"/>
      <c r="I12" s="47"/>
      <c r="J12" s="47"/>
      <c r="K12" s="47"/>
      <c r="L12" s="47"/>
      <c r="M12" s="117"/>
      <c r="N12" s="158" t="s">
        <v>109</v>
      </c>
      <c r="O12" s="145">
        <f>100%-O11</f>
        <v>0</v>
      </c>
      <c r="P12" s="49"/>
      <c r="Q12" s="49"/>
      <c r="R12" s="50"/>
      <c r="S12" s="117"/>
      <c r="T12" s="117"/>
      <c r="U12" s="117"/>
      <c r="V12" s="117"/>
      <c r="W12" s="26"/>
      <c r="X12" s="26"/>
      <c r="Y12" s="26"/>
      <c r="Z12" s="28"/>
      <c r="AA12" s="28"/>
      <c r="AB12" s="26"/>
      <c r="AC12" s="26"/>
      <c r="AD12" s="26"/>
      <c r="AE12" s="26"/>
      <c r="AF12" s="26"/>
    </row>
    <row r="13" spans="2:38" x14ac:dyDescent="0.2">
      <c r="B13" s="53" t="s">
        <v>53</v>
      </c>
      <c r="C13" s="19"/>
      <c r="D13" s="19" t="s">
        <v>2</v>
      </c>
      <c r="E13" s="45" t="s">
        <v>3</v>
      </c>
      <c r="F13" s="45" t="s">
        <v>4</v>
      </c>
      <c r="G13" s="45" t="s">
        <v>5</v>
      </c>
      <c r="H13" s="45" t="s">
        <v>6</v>
      </c>
      <c r="I13" s="45"/>
      <c r="J13" s="45"/>
      <c r="K13" s="45"/>
      <c r="L13" s="46"/>
      <c r="M13" s="124"/>
      <c r="N13" s="17"/>
      <c r="O13" s="117"/>
      <c r="P13" s="117"/>
      <c r="Q13" s="117"/>
      <c r="R13" s="117"/>
      <c r="S13" s="117"/>
      <c r="T13" s="117"/>
      <c r="U13" s="117"/>
      <c r="V13" s="124"/>
      <c r="W13" s="26"/>
      <c r="X13" s="21"/>
      <c r="Y13" s="22"/>
      <c r="Z13" s="23"/>
      <c r="AA13" s="23"/>
      <c r="AB13" s="20"/>
      <c r="AC13" s="20"/>
      <c r="AD13" s="20"/>
      <c r="AE13" s="20"/>
      <c r="AF13" s="20"/>
    </row>
    <row r="14" spans="2:38" s="17" customFormat="1" x14ac:dyDescent="0.2">
      <c r="B14" s="24" t="s">
        <v>9</v>
      </c>
      <c r="C14" s="25"/>
      <c r="D14" s="25">
        <v>1.5</v>
      </c>
      <c r="E14" s="47">
        <v>1.5</v>
      </c>
      <c r="F14" s="47">
        <v>1.5</v>
      </c>
      <c r="G14" s="47">
        <v>1.5</v>
      </c>
      <c r="H14" s="47">
        <v>1.5</v>
      </c>
      <c r="I14" s="47"/>
      <c r="J14" s="58">
        <f>(SUM(D14:I14)*J$11)-(D14+G14)</f>
        <v>297</v>
      </c>
      <c r="K14" s="58">
        <f>(5*10.5*K$11)-(5*10.5)</f>
        <v>577.5</v>
      </c>
      <c r="L14" s="59">
        <f>K14+J14</f>
        <v>874.5</v>
      </c>
      <c r="M14" s="125"/>
      <c r="P14" s="110" t="s">
        <v>110</v>
      </c>
      <c r="Q14" s="118"/>
      <c r="R14" s="159">
        <f>P11*L28+Q11*M28+R11*N28</f>
        <v>-0.17763157894736845</v>
      </c>
      <c r="S14" s="195"/>
      <c r="T14" s="195"/>
      <c r="U14" s="195"/>
      <c r="V14" s="125"/>
      <c r="W14" s="27">
        <f>+L14/5</f>
        <v>174.9</v>
      </c>
      <c r="X14" s="26"/>
      <c r="Y14" s="28">
        <f>+W14*$Y$2</f>
        <v>1098.3720000000001</v>
      </c>
      <c r="Z14" s="28">
        <f>+Y14/$Z$2</f>
        <v>91.531000000000006</v>
      </c>
      <c r="AA14" s="28"/>
      <c r="AB14" s="28">
        <f>+Z14*$AB$2</f>
        <v>91.531000000000006</v>
      </c>
      <c r="AC14" s="28">
        <f>+Z14*$AC$2</f>
        <v>183.06200000000001</v>
      </c>
      <c r="AD14" s="28">
        <f>+Z14*$AD$2</f>
        <v>274.59300000000002</v>
      </c>
      <c r="AE14" s="28">
        <f>+Z14*$AE$2</f>
        <v>366.12400000000002</v>
      </c>
      <c r="AF14" s="28">
        <f>+Z14*$AF$2</f>
        <v>457.65500000000003</v>
      </c>
      <c r="AH14" s="33">
        <f>+W14/12</f>
        <v>14.575000000000001</v>
      </c>
      <c r="AI14" s="18">
        <f>+AH14*$AI$2</f>
        <v>29.150000000000002</v>
      </c>
      <c r="AJ14" s="18">
        <f>+AH14*$AJ$2</f>
        <v>43.725000000000001</v>
      </c>
      <c r="AK14" s="18">
        <f>+AH14*$AK$2</f>
        <v>58.300000000000004</v>
      </c>
      <c r="AL14" s="18">
        <f>+AH14*$AL$2</f>
        <v>72.875</v>
      </c>
    </row>
    <row r="15" spans="2:38" s="17" customFormat="1" x14ac:dyDescent="0.2">
      <c r="B15" s="24" t="s">
        <v>10</v>
      </c>
      <c r="C15" s="25"/>
      <c r="D15" s="25">
        <f>D14+D16</f>
        <v>4.5</v>
      </c>
      <c r="E15" s="47">
        <f>E14+E16</f>
        <v>4.5</v>
      </c>
      <c r="F15" s="47">
        <f>F14+F16</f>
        <v>7.5</v>
      </c>
      <c r="G15" s="47">
        <f>G14+G16</f>
        <v>4.5</v>
      </c>
      <c r="H15" s="47">
        <f>H14+H16</f>
        <v>4.5</v>
      </c>
      <c r="I15" s="47"/>
      <c r="J15" s="58">
        <f>J14+J16</f>
        <v>1011</v>
      </c>
      <c r="K15" s="58">
        <f>K14</f>
        <v>577.5</v>
      </c>
      <c r="L15" s="59">
        <f>K15+J15</f>
        <v>1588.5</v>
      </c>
      <c r="M15" s="125"/>
      <c r="P15" s="160" t="s">
        <v>111</v>
      </c>
      <c r="Q15" s="161"/>
      <c r="R15" s="162">
        <f>P11*L29+Q11*M29+R11*N29</f>
        <v>-0.14007127192982455</v>
      </c>
      <c r="S15" s="195"/>
      <c r="T15" s="195"/>
      <c r="U15" s="195"/>
      <c r="V15" s="125"/>
      <c r="W15" s="27">
        <f>+L15/5</f>
        <v>317.7</v>
      </c>
      <c r="X15" s="26"/>
      <c r="Y15" s="28">
        <f>+W15*$Y$2</f>
        <v>1995.1559999999999</v>
      </c>
      <c r="Z15" s="29">
        <f>+Y15/$Z$2</f>
        <v>166.26300000000001</v>
      </c>
      <c r="AA15" s="28">
        <f>+Z15/$AA$2</f>
        <v>83.131500000000003</v>
      </c>
      <c r="AB15" s="28">
        <f>+Z15*$AB$2</f>
        <v>166.26300000000001</v>
      </c>
      <c r="AC15" s="28">
        <f>+Z15*$AC$2</f>
        <v>332.52600000000001</v>
      </c>
      <c r="AD15" s="28">
        <f>+Z15*$AD$2</f>
        <v>498.78899999999999</v>
      </c>
      <c r="AE15" s="28">
        <f>+Z15*$AE$2</f>
        <v>665.05200000000002</v>
      </c>
      <c r="AF15" s="28">
        <f>+Z15*$AF$2</f>
        <v>831.31500000000005</v>
      </c>
      <c r="AH15" s="33">
        <f>+W15/12</f>
        <v>26.474999999999998</v>
      </c>
      <c r="AI15" s="18">
        <f t="shared" ref="AI15:AI16" si="4">+AH15*$AI$2</f>
        <v>52.949999999999996</v>
      </c>
      <c r="AJ15" s="18">
        <f t="shared" ref="AJ15:AJ16" si="5">+AH15*$AJ$2</f>
        <v>79.424999999999997</v>
      </c>
      <c r="AK15" s="18">
        <f t="shared" ref="AK15:AK16" si="6">+AH15*$AK$2</f>
        <v>105.89999999999999</v>
      </c>
      <c r="AL15" s="18">
        <f t="shared" ref="AL15:AL16" si="7">+AH15*$AL$2</f>
        <v>132.375</v>
      </c>
    </row>
    <row r="16" spans="2:38" s="17" customFormat="1" x14ac:dyDescent="0.2">
      <c r="B16" s="24" t="s">
        <v>11</v>
      </c>
      <c r="C16" s="25"/>
      <c r="D16" s="25">
        <v>3</v>
      </c>
      <c r="E16" s="47">
        <v>3</v>
      </c>
      <c r="F16" s="47">
        <v>6</v>
      </c>
      <c r="G16" s="47">
        <v>3</v>
      </c>
      <c r="H16" s="47">
        <v>3</v>
      </c>
      <c r="I16" s="47"/>
      <c r="J16" s="58">
        <f>(SUM(D16:I16)*J$11)-(D16+G16)</f>
        <v>714</v>
      </c>
      <c r="K16" s="58">
        <f>(5*10.5*K$11)-(5*10.5)</f>
        <v>577.5</v>
      </c>
      <c r="L16" s="59">
        <f>K16+J16</f>
        <v>1291.5</v>
      </c>
      <c r="M16" s="125"/>
      <c r="N16" s="163"/>
      <c r="V16" s="125"/>
      <c r="W16" s="27">
        <f>+L16/5</f>
        <v>258.3</v>
      </c>
      <c r="X16" s="26"/>
      <c r="Y16" s="28">
        <f>+W16*$Y$2</f>
        <v>1622.124</v>
      </c>
      <c r="Z16" s="28">
        <f>+Y16/$Z$2</f>
        <v>135.17699999999999</v>
      </c>
      <c r="AA16" s="28"/>
      <c r="AB16" s="28">
        <f>+Z16*$AB$2</f>
        <v>135.17699999999999</v>
      </c>
      <c r="AC16" s="28">
        <f>+Z16*$AC$2</f>
        <v>270.35399999999998</v>
      </c>
      <c r="AD16" s="28">
        <f>+Z16*$AD$2</f>
        <v>405.53099999999995</v>
      </c>
      <c r="AE16" s="28">
        <f>+Z16*$AE$2</f>
        <v>540.70799999999997</v>
      </c>
      <c r="AF16" s="28">
        <f>+Z16*$AF$2</f>
        <v>675.88499999999999</v>
      </c>
      <c r="AH16" s="33">
        <f>+W16/12</f>
        <v>21.525000000000002</v>
      </c>
      <c r="AI16" s="18">
        <f t="shared" si="4"/>
        <v>43.050000000000004</v>
      </c>
      <c r="AJ16" s="18">
        <f t="shared" si="5"/>
        <v>64.575000000000003</v>
      </c>
      <c r="AK16" s="18">
        <f t="shared" si="6"/>
        <v>86.100000000000009</v>
      </c>
      <c r="AL16" s="18">
        <f t="shared" si="7"/>
        <v>107.62500000000001</v>
      </c>
    </row>
    <row r="17" spans="2:32" s="17" customFormat="1" ht="13.5" thickBot="1" x14ac:dyDescent="0.25">
      <c r="B17" s="30"/>
      <c r="C17" s="31"/>
      <c r="D17" s="31"/>
      <c r="E17" s="49"/>
      <c r="F17" s="49"/>
      <c r="G17" s="49"/>
      <c r="H17" s="49"/>
      <c r="I17" s="49"/>
      <c r="J17" s="49"/>
      <c r="K17" s="49" t="s">
        <v>13</v>
      </c>
      <c r="L17" s="60">
        <f>10%*L14+20%*L15+70%*L16</f>
        <v>1309.2</v>
      </c>
      <c r="M17" s="126"/>
      <c r="P17" s="164" t="s">
        <v>112</v>
      </c>
      <c r="Q17" s="165"/>
      <c r="R17" s="166">
        <v>3253322.2931876699</v>
      </c>
      <c r="S17" s="196"/>
      <c r="T17" s="196"/>
      <c r="U17" s="196"/>
      <c r="V17" s="126"/>
      <c r="W17" s="26"/>
      <c r="X17" s="26"/>
      <c r="Y17" s="26"/>
      <c r="Z17" s="28"/>
      <c r="AA17" s="28"/>
      <c r="AB17" s="26"/>
      <c r="AC17" s="26"/>
      <c r="AD17" s="26"/>
      <c r="AE17" s="26"/>
      <c r="AF17" s="26"/>
    </row>
    <row r="18" spans="2:32" s="17" customFormat="1" x14ac:dyDescent="0.2">
      <c r="B18" s="25"/>
      <c r="C18" s="25"/>
      <c r="D18" s="25"/>
      <c r="E18" s="47"/>
      <c r="F18" s="47"/>
      <c r="G18" s="47"/>
      <c r="H18" s="47"/>
      <c r="I18" s="47"/>
      <c r="J18" s="47"/>
      <c r="K18" s="47"/>
      <c r="L18" s="61">
        <f>(L17-L$8)/L$8</f>
        <v>-4.2982456140350844E-2</v>
      </c>
      <c r="M18" s="123"/>
      <c r="P18" s="167" t="s">
        <v>113</v>
      </c>
      <c r="Q18" s="117"/>
      <c r="R18" s="168">
        <f>R15*R17</f>
        <v>-455696.99160445051</v>
      </c>
      <c r="S18" s="196"/>
      <c r="T18" s="196"/>
      <c r="U18" s="196"/>
      <c r="V18" s="123"/>
      <c r="W18" s="26"/>
      <c r="X18" s="26"/>
      <c r="Y18" s="26"/>
      <c r="Z18" s="28"/>
      <c r="AA18" s="28"/>
      <c r="AB18" s="26"/>
      <c r="AC18" s="26"/>
      <c r="AD18" s="26"/>
      <c r="AE18" s="26"/>
      <c r="AF18" s="26"/>
    </row>
    <row r="19" spans="2:32" s="17" customFormat="1" x14ac:dyDescent="0.2">
      <c r="B19" s="25" t="s">
        <v>98</v>
      </c>
      <c r="C19" s="25"/>
      <c r="D19" s="25"/>
      <c r="E19" s="117"/>
      <c r="F19" s="117"/>
      <c r="G19" s="117"/>
      <c r="H19" s="117"/>
      <c r="I19" s="117"/>
      <c r="J19" s="117"/>
      <c r="K19" s="117"/>
      <c r="L19" s="123"/>
      <c r="M19" s="123"/>
      <c r="N19" s="25"/>
      <c r="O19" s="25"/>
      <c r="P19" s="167" t="s">
        <v>114</v>
      </c>
      <c r="Q19" s="10"/>
      <c r="R19" s="168">
        <f>R17+R18</f>
        <v>2797625.3015832193</v>
      </c>
      <c r="S19" s="196"/>
      <c r="T19" s="196"/>
      <c r="U19" s="196"/>
      <c r="V19" s="123"/>
      <c r="W19" s="26"/>
      <c r="X19" s="26"/>
      <c r="Y19" s="26"/>
      <c r="Z19" s="28"/>
      <c r="AA19" s="28"/>
      <c r="AB19" s="26"/>
      <c r="AC19" s="26"/>
      <c r="AD19" s="26"/>
      <c r="AE19" s="26"/>
      <c r="AF19" s="26"/>
    </row>
    <row r="20" spans="2:32" s="17" customFormat="1" x14ac:dyDescent="0.2">
      <c r="B20" s="25" t="s">
        <v>99</v>
      </c>
      <c r="C20" s="25"/>
      <c r="D20" s="25"/>
      <c r="E20" s="117"/>
      <c r="F20" s="117"/>
      <c r="G20" s="117"/>
      <c r="H20" s="117"/>
      <c r="I20" s="117"/>
      <c r="J20" s="117"/>
      <c r="K20" s="117"/>
      <c r="L20" s="123"/>
      <c r="M20" s="123"/>
      <c r="N20" s="25"/>
      <c r="O20" s="25"/>
      <c r="P20" s="167" t="s">
        <v>115</v>
      </c>
      <c r="Q20" s="25"/>
      <c r="R20" s="168">
        <v>2488373.6805108399</v>
      </c>
      <c r="S20" s="196"/>
      <c r="T20" s="196"/>
      <c r="U20" s="196"/>
      <c r="V20" s="123"/>
      <c r="W20" s="26"/>
      <c r="X20" s="26"/>
      <c r="Y20" s="26"/>
      <c r="Z20" s="28"/>
      <c r="AA20" s="28"/>
      <c r="AB20" s="26"/>
      <c r="AC20" s="26"/>
      <c r="AD20" s="26"/>
      <c r="AE20" s="26"/>
      <c r="AF20" s="26"/>
    </row>
    <row r="21" spans="2:32" s="17" customFormat="1" ht="13.5" thickBot="1" x14ac:dyDescent="0.25">
      <c r="B21" s="25"/>
      <c r="C21" s="25"/>
      <c r="D21" s="25"/>
      <c r="E21" s="117"/>
      <c r="F21" s="117"/>
      <c r="G21" s="117"/>
      <c r="H21" s="117"/>
      <c r="I21" s="117"/>
      <c r="J21" s="117"/>
      <c r="K21" s="117"/>
      <c r="L21" s="123"/>
      <c r="M21" s="123"/>
      <c r="N21" s="25"/>
      <c r="O21" s="25"/>
      <c r="P21" s="169" t="s">
        <v>116</v>
      </c>
      <c r="Q21" s="117"/>
      <c r="R21" s="168">
        <f>R19-R20</f>
        <v>309251.62107237941</v>
      </c>
      <c r="S21" s="196"/>
      <c r="T21" s="196"/>
      <c r="U21" s="196"/>
      <c r="V21" s="123"/>
      <c r="W21" s="26"/>
      <c r="X21" s="26"/>
      <c r="Y21" s="26"/>
      <c r="Z21" s="28"/>
      <c r="AA21" s="28"/>
      <c r="AB21" s="26"/>
      <c r="AC21" s="26"/>
      <c r="AD21" s="26"/>
      <c r="AE21" s="26"/>
      <c r="AF21" s="26"/>
    </row>
    <row r="22" spans="2:32" s="17" customFormat="1" x14ac:dyDescent="0.2">
      <c r="B22" s="53" t="s">
        <v>53</v>
      </c>
      <c r="C22" s="19"/>
      <c r="D22" s="19" t="s">
        <v>2</v>
      </c>
      <c r="E22" s="45" t="s">
        <v>3</v>
      </c>
      <c r="F22" s="45" t="s">
        <v>4</v>
      </c>
      <c r="G22" s="45" t="s">
        <v>5</v>
      </c>
      <c r="H22" s="45" t="s">
        <v>6</v>
      </c>
      <c r="I22" s="45"/>
      <c r="J22" s="45"/>
      <c r="K22" s="45"/>
      <c r="L22" s="140" t="s">
        <v>100</v>
      </c>
      <c r="M22" s="140" t="s">
        <v>118</v>
      </c>
      <c r="N22" s="141" t="s">
        <v>101</v>
      </c>
      <c r="O22" s="25"/>
      <c r="P22" s="170" t="s">
        <v>117</v>
      </c>
      <c r="Q22" s="105"/>
      <c r="R22" s="171">
        <f>R21/R19</f>
        <v>0.11054075786967224</v>
      </c>
      <c r="S22" s="121"/>
      <c r="T22" s="121"/>
      <c r="U22" s="121"/>
      <c r="V22" s="123"/>
      <c r="W22" s="26"/>
      <c r="X22" s="26"/>
      <c r="Y22" s="26"/>
      <c r="Z22" s="28"/>
      <c r="AA22" s="28"/>
      <c r="AB22" s="26"/>
      <c r="AC22" s="26"/>
      <c r="AD22" s="26"/>
      <c r="AE22" s="26"/>
      <c r="AF22" s="26"/>
    </row>
    <row r="23" spans="2:32" s="17" customFormat="1" x14ac:dyDescent="0.2">
      <c r="B23" s="24" t="s">
        <v>9</v>
      </c>
      <c r="C23" s="25"/>
      <c r="D23" s="25">
        <v>1</v>
      </c>
      <c r="E23" s="117">
        <v>1</v>
      </c>
      <c r="F23" s="117">
        <v>1</v>
      </c>
      <c r="G23" s="117">
        <v>1</v>
      </c>
      <c r="H23" s="117">
        <v>1</v>
      </c>
      <c r="I23" s="117"/>
      <c r="J23" s="122">
        <f>(SUM(D23:I23)*J$11)</f>
        <v>200</v>
      </c>
      <c r="K23" s="122">
        <f>(5*10*K$11)</f>
        <v>600</v>
      </c>
      <c r="L23" s="125">
        <f>K23+J23</f>
        <v>800</v>
      </c>
      <c r="M23" s="125">
        <f>J23+8*10*5</f>
        <v>600</v>
      </c>
      <c r="N23" s="59">
        <f>J23</f>
        <v>200</v>
      </c>
      <c r="O23" s="123"/>
      <c r="P23" s="123"/>
      <c r="Q23" s="123"/>
      <c r="R23" s="123"/>
      <c r="S23" s="123"/>
      <c r="T23" s="123"/>
      <c r="U23" s="123"/>
      <c r="V23" s="123"/>
      <c r="W23" s="26"/>
      <c r="X23" s="26"/>
      <c r="Y23" s="26"/>
      <c r="Z23" s="28"/>
      <c r="AA23" s="28"/>
      <c r="AB23" s="26"/>
      <c r="AC23" s="26"/>
      <c r="AD23" s="26"/>
      <c r="AE23" s="26"/>
      <c r="AF23" s="26"/>
    </row>
    <row r="24" spans="2:32" s="17" customFormat="1" x14ac:dyDescent="0.2">
      <c r="B24" s="24" t="s">
        <v>10</v>
      </c>
      <c r="C24" s="25"/>
      <c r="D24" s="25">
        <f>D23+D25</f>
        <v>4.75</v>
      </c>
      <c r="E24" s="117">
        <f>E23+E25</f>
        <v>4.75</v>
      </c>
      <c r="F24" s="117">
        <f>F23+F25</f>
        <v>4.75</v>
      </c>
      <c r="G24" s="117">
        <f>G23+G25</f>
        <v>4.75</v>
      </c>
      <c r="H24" s="117">
        <f>H23+H25</f>
        <v>4.75</v>
      </c>
      <c r="I24" s="117"/>
      <c r="J24" s="122">
        <f>J23+(J25*O11)+(J26*O12)</f>
        <v>950</v>
      </c>
      <c r="K24" s="122">
        <f>K23</f>
        <v>600</v>
      </c>
      <c r="L24" s="125">
        <f>K24+J24</f>
        <v>1550</v>
      </c>
      <c r="M24" s="125">
        <f>J24+8*10*5</f>
        <v>1350</v>
      </c>
      <c r="N24" s="59">
        <f>J24</f>
        <v>950</v>
      </c>
      <c r="O24" s="123"/>
      <c r="P24" s="123"/>
      <c r="Q24" s="186" t="s">
        <v>122</v>
      </c>
      <c r="R24" s="187" t="s">
        <v>121</v>
      </c>
      <c r="S24" s="197"/>
      <c r="T24" s="197"/>
      <c r="U24" s="197"/>
      <c r="V24" s="123"/>
      <c r="W24" s="26"/>
      <c r="X24" s="26"/>
      <c r="Y24" s="26"/>
      <c r="Z24" s="28"/>
      <c r="AA24" s="28"/>
      <c r="AB24" s="26"/>
      <c r="AC24" s="26"/>
      <c r="AD24" s="26"/>
      <c r="AE24" s="26"/>
      <c r="AF24" s="26"/>
    </row>
    <row r="25" spans="2:32" s="17" customFormat="1" x14ac:dyDescent="0.2">
      <c r="B25" s="24" t="s">
        <v>11</v>
      </c>
      <c r="C25" s="25"/>
      <c r="D25" s="25">
        <v>3.75</v>
      </c>
      <c r="E25" s="25">
        <v>3.75</v>
      </c>
      <c r="F25" s="25">
        <v>3.75</v>
      </c>
      <c r="G25" s="25">
        <v>3.75</v>
      </c>
      <c r="H25" s="25">
        <v>3.75</v>
      </c>
      <c r="I25" s="117"/>
      <c r="J25" s="122">
        <f>(SUM(D25:I25)*J$11)</f>
        <v>750</v>
      </c>
      <c r="K25" s="122">
        <f>(5*10*K$11)</f>
        <v>600</v>
      </c>
      <c r="L25" s="125">
        <f>K25+J25</f>
        <v>1350</v>
      </c>
      <c r="M25" s="125">
        <f>J25+8*10*5</f>
        <v>1150</v>
      </c>
      <c r="N25" s="59">
        <f>J25</f>
        <v>750</v>
      </c>
      <c r="O25" s="123"/>
      <c r="P25" s="123"/>
      <c r="Q25" s="185">
        <v>0.7</v>
      </c>
      <c r="R25" s="188">
        <f>100%-Q25</f>
        <v>0.30000000000000004</v>
      </c>
      <c r="S25" s="197"/>
      <c r="T25" s="197"/>
      <c r="U25" s="197"/>
      <c r="V25" s="123"/>
      <c r="W25" s="26"/>
      <c r="X25" s="26"/>
      <c r="Y25" s="26"/>
      <c r="Z25" s="28"/>
      <c r="AA25" s="28"/>
      <c r="AB25" s="26"/>
      <c r="AC25" s="26"/>
      <c r="AD25" s="26"/>
      <c r="AE25" s="26"/>
      <c r="AF25" s="26"/>
    </row>
    <row r="26" spans="2:32" s="17" customFormat="1" x14ac:dyDescent="0.2">
      <c r="B26" s="24" t="s">
        <v>102</v>
      </c>
      <c r="C26" s="25"/>
      <c r="D26" s="25">
        <v>4.25</v>
      </c>
      <c r="E26" s="25">
        <v>4.25</v>
      </c>
      <c r="F26" s="25">
        <v>4.25</v>
      </c>
      <c r="G26" s="25">
        <v>4.25</v>
      </c>
      <c r="H26" s="25">
        <v>4.25</v>
      </c>
      <c r="I26" s="117"/>
      <c r="J26" s="122">
        <f>(SUM(D26:I26)*J$11)</f>
        <v>850</v>
      </c>
      <c r="K26" s="122">
        <f>(5*10.5*K$11)</f>
        <v>630</v>
      </c>
      <c r="L26" s="125">
        <f>K26+J26</f>
        <v>1480</v>
      </c>
      <c r="M26" s="125">
        <f>J26+8*10.5*5</f>
        <v>1270</v>
      </c>
      <c r="N26" s="59">
        <f>J26</f>
        <v>850</v>
      </c>
      <c r="O26" s="123"/>
      <c r="P26" s="123"/>
      <c r="Q26" s="123"/>
      <c r="R26" s="123"/>
      <c r="S26" s="123"/>
      <c r="T26" s="123"/>
      <c r="U26" s="123"/>
      <c r="V26" s="123"/>
      <c r="W26" s="26"/>
      <c r="X26" s="26"/>
      <c r="Y26" s="26"/>
      <c r="Z26" s="28"/>
      <c r="AA26" s="28"/>
      <c r="AB26" s="26"/>
      <c r="AC26" s="26"/>
      <c r="AD26" s="26"/>
      <c r="AE26" s="26"/>
      <c r="AF26" s="26"/>
    </row>
    <row r="27" spans="2:32" s="17" customFormat="1" ht="13.5" thickBot="1" x14ac:dyDescent="0.25">
      <c r="B27" s="24"/>
      <c r="C27" s="25"/>
      <c r="D27" s="25"/>
      <c r="E27" s="117"/>
      <c r="F27" s="117"/>
      <c r="G27" s="117"/>
      <c r="H27" s="117"/>
      <c r="I27" s="117"/>
      <c r="J27" s="117"/>
      <c r="K27" s="126" t="s">
        <v>13</v>
      </c>
      <c r="L27" s="142">
        <f>(10%*L23)+(20%*L24)+(70%*(L25*O11+L26*O12))</f>
        <v>1335</v>
      </c>
      <c r="M27" s="142">
        <f>(10%*M23)+(20%*M24)+(70%*(M25*O11+M26*O12))</f>
        <v>1135</v>
      </c>
      <c r="N27" s="143">
        <f>(10%*N23)+(20%*N24)+(70%*(N25*O11+N26*O12))</f>
        <v>735</v>
      </c>
      <c r="O27" s="123"/>
      <c r="P27" s="123"/>
      <c r="Q27" s="123"/>
      <c r="R27" s="123"/>
      <c r="S27" s="123"/>
      <c r="T27" s="123"/>
      <c r="U27" s="123"/>
      <c r="V27" s="123"/>
      <c r="W27" s="26"/>
      <c r="X27" s="26"/>
      <c r="Y27" s="26"/>
      <c r="Z27" s="28"/>
      <c r="AA27" s="28"/>
      <c r="AB27" s="26"/>
      <c r="AC27" s="26"/>
      <c r="AD27" s="26"/>
      <c r="AE27" s="26"/>
      <c r="AF27" s="26"/>
    </row>
    <row r="28" spans="2:32" s="17" customFormat="1" ht="13.5" thickTop="1" x14ac:dyDescent="0.2">
      <c r="B28" s="24"/>
      <c r="C28" s="25"/>
      <c r="D28" s="25"/>
      <c r="E28" s="117"/>
      <c r="F28" s="117"/>
      <c r="G28" s="117"/>
      <c r="H28" s="117"/>
      <c r="I28" s="117"/>
      <c r="J28" s="117"/>
      <c r="K28" s="126" t="s">
        <v>103</v>
      </c>
      <c r="L28" s="123">
        <f>(L27-L$8)/L$8</f>
        <v>-2.4122807017543858E-2</v>
      </c>
      <c r="M28" s="123">
        <f>(M27-L$8)/L$8</f>
        <v>-0.1703216374269006</v>
      </c>
      <c r="N28" s="144">
        <f>(N27-L$8)/L$8</f>
        <v>-0.46271929824561403</v>
      </c>
      <c r="O28" s="123"/>
      <c r="P28" s="123"/>
      <c r="Q28" s="123"/>
      <c r="R28" s="123"/>
      <c r="S28" s="123"/>
      <c r="T28" s="123"/>
      <c r="U28" s="123"/>
      <c r="V28" s="123"/>
      <c r="W28" s="26"/>
      <c r="X28" s="26"/>
      <c r="Y28" s="26"/>
      <c r="Z28" s="28"/>
      <c r="AA28" s="28"/>
      <c r="AB28" s="26"/>
      <c r="AC28" s="26"/>
      <c r="AD28" s="26"/>
      <c r="AE28" s="26"/>
      <c r="AF28" s="26"/>
    </row>
    <row r="29" spans="2:32" s="17" customFormat="1" ht="13.5" thickBot="1" x14ac:dyDescent="0.25">
      <c r="B29" s="30"/>
      <c r="C29" s="31"/>
      <c r="D29" s="31"/>
      <c r="E29" s="49"/>
      <c r="F29" s="49"/>
      <c r="G29" s="49"/>
      <c r="H29" s="49"/>
      <c r="I29" s="49"/>
      <c r="J29" s="49"/>
      <c r="K29" s="145" t="s">
        <v>104</v>
      </c>
      <c r="L29" s="145">
        <f>L28</f>
        <v>-2.4122807017543858E-2</v>
      </c>
      <c r="M29" s="145">
        <f>((M27*(1+Q$10))-$L$8)/$L$8</f>
        <v>-0.12883771929824561</v>
      </c>
      <c r="N29" s="145">
        <f>((N27*(1+R$10))-$L$8)/$L$8</f>
        <v>-0.39824561403508768</v>
      </c>
      <c r="O29" s="123"/>
      <c r="P29" s="123"/>
      <c r="Q29" s="123"/>
      <c r="R29" s="123"/>
      <c r="S29" s="123"/>
      <c r="T29" s="123"/>
      <c r="U29" s="123"/>
      <c r="V29" s="123"/>
      <c r="W29" s="26"/>
      <c r="X29" s="26"/>
      <c r="Y29" s="26"/>
      <c r="Z29" s="28"/>
      <c r="AA29" s="28"/>
      <c r="AB29" s="26"/>
      <c r="AC29" s="26"/>
      <c r="AD29" s="26"/>
      <c r="AE29" s="26"/>
      <c r="AF29" s="26"/>
    </row>
    <row r="30" spans="2:32" s="17" customFormat="1" x14ac:dyDescent="0.2">
      <c r="B30" s="25"/>
      <c r="C30" s="25"/>
      <c r="D30" s="25"/>
      <c r="E30" s="117"/>
      <c r="F30" s="117"/>
      <c r="G30" s="117"/>
      <c r="H30" s="117"/>
      <c r="I30" s="117"/>
      <c r="J30" s="117"/>
      <c r="K30" s="117"/>
      <c r="L30" s="123"/>
      <c r="M30" s="123"/>
      <c r="N30" s="123"/>
      <c r="O30" s="123"/>
      <c r="P30" s="123"/>
      <c r="Q30" s="123"/>
      <c r="R30" s="123"/>
      <c r="S30" s="123"/>
      <c r="T30" s="123"/>
      <c r="U30" s="123"/>
      <c r="V30" s="123"/>
      <c r="W30" s="26"/>
      <c r="X30" s="26"/>
      <c r="Y30" s="26"/>
      <c r="Z30" s="28"/>
      <c r="AA30" s="28"/>
      <c r="AB30" s="26"/>
      <c r="AC30" s="26"/>
      <c r="AD30" s="26"/>
      <c r="AE30" s="26"/>
      <c r="AF30" s="26"/>
    </row>
    <row r="31" spans="2:32" s="17" customFormat="1" x14ac:dyDescent="0.2">
      <c r="B31" s="25"/>
      <c r="C31" s="25"/>
      <c r="D31" s="25"/>
      <c r="E31" s="117"/>
      <c r="F31" s="117"/>
      <c r="G31" s="117"/>
      <c r="H31" s="117"/>
      <c r="I31" s="117"/>
      <c r="J31" s="117"/>
      <c r="K31" s="117"/>
      <c r="L31" s="123"/>
      <c r="M31" s="123"/>
      <c r="N31" s="123"/>
      <c r="O31" s="123"/>
      <c r="P31" s="123"/>
      <c r="Q31" s="123"/>
      <c r="R31" s="123"/>
      <c r="S31" s="123"/>
      <c r="T31" s="123"/>
      <c r="U31" s="123"/>
      <c r="V31" s="123"/>
      <c r="W31" s="26"/>
      <c r="X31" s="26"/>
      <c r="Y31" s="26"/>
      <c r="Z31" s="28"/>
      <c r="AA31" s="28"/>
      <c r="AB31" s="26"/>
      <c r="AC31" s="26"/>
      <c r="AD31" s="26"/>
      <c r="AE31" s="26"/>
      <c r="AF31" s="26"/>
    </row>
    <row r="32" spans="2:32" s="17" customFormat="1" x14ac:dyDescent="0.2">
      <c r="B32" s="25"/>
      <c r="C32" s="25"/>
      <c r="D32" s="25"/>
      <c r="E32" s="117"/>
      <c r="F32" s="117"/>
      <c r="G32" s="117"/>
      <c r="H32" s="117"/>
      <c r="I32" s="117"/>
      <c r="J32" s="117"/>
      <c r="K32" s="117"/>
      <c r="L32" s="123"/>
      <c r="M32" s="123"/>
      <c r="N32" s="123"/>
      <c r="O32" s="123"/>
      <c r="P32" s="123"/>
      <c r="Q32" s="123"/>
      <c r="R32" s="123"/>
      <c r="S32" s="123"/>
      <c r="T32" s="123"/>
      <c r="U32" s="123"/>
      <c r="V32" s="123"/>
      <c r="W32" s="26"/>
      <c r="X32" s="26"/>
      <c r="Y32" s="26"/>
      <c r="Z32" s="28"/>
      <c r="AA32" s="28"/>
      <c r="AB32" s="26"/>
      <c r="AC32" s="26"/>
      <c r="AD32" s="26"/>
      <c r="AE32" s="26"/>
      <c r="AF32" s="26"/>
    </row>
    <row r="33" spans="1:44" s="17" customFormat="1" x14ac:dyDescent="0.2">
      <c r="B33" s="25"/>
      <c r="C33" s="25"/>
      <c r="D33" s="25"/>
      <c r="E33" s="47"/>
      <c r="F33" s="47"/>
      <c r="G33" s="47"/>
      <c r="H33" s="47"/>
      <c r="I33" s="47"/>
      <c r="J33" s="47"/>
      <c r="K33" s="47"/>
      <c r="L33" s="61"/>
      <c r="M33" s="123"/>
      <c r="N33" s="61" t="s">
        <v>88</v>
      </c>
      <c r="O33" s="61"/>
      <c r="P33" s="61"/>
      <c r="Q33" s="61" t="s">
        <v>89</v>
      </c>
      <c r="R33" s="123"/>
      <c r="S33" s="123"/>
      <c r="T33" s="123"/>
      <c r="U33" s="123"/>
      <c r="V33" s="123"/>
      <c r="W33" s="26"/>
      <c r="X33" s="26"/>
      <c r="Y33" s="26"/>
      <c r="Z33" s="28"/>
      <c r="AA33" s="28"/>
      <c r="AB33" s="26"/>
      <c r="AC33" s="26"/>
      <c r="AD33" s="26"/>
      <c r="AE33" s="26"/>
      <c r="AF33" s="26"/>
    </row>
    <row r="34" spans="1:44" s="17" customFormat="1" x14ac:dyDescent="0.2">
      <c r="B34" s="25" t="s">
        <v>96</v>
      </c>
      <c r="C34" s="25"/>
      <c r="D34" s="25"/>
      <c r="E34" s="47"/>
      <c r="F34" s="47"/>
      <c r="G34" s="47"/>
      <c r="H34" s="47"/>
      <c r="I34" s="47"/>
      <c r="J34" s="47"/>
      <c r="K34" s="47"/>
      <c r="L34" s="56"/>
      <c r="M34" s="121"/>
      <c r="N34" s="103">
        <v>52</v>
      </c>
      <c r="O34" s="103">
        <v>46</v>
      </c>
      <c r="P34" s="26">
        <v>40</v>
      </c>
      <c r="Q34" s="104">
        <v>0.05</v>
      </c>
      <c r="R34" s="127">
        <f>R10</f>
        <v>0.12</v>
      </c>
      <c r="S34" s="127"/>
      <c r="T34" s="127"/>
      <c r="U34" s="127"/>
      <c r="V34" s="127"/>
      <c r="X34" s="26"/>
      <c r="Y34" s="26"/>
      <c r="Z34" s="28"/>
      <c r="AA34" s="28"/>
      <c r="AB34" s="26"/>
      <c r="AC34" s="26"/>
      <c r="AD34" s="26"/>
      <c r="AE34" s="26"/>
      <c r="AF34" s="26"/>
    </row>
    <row r="35" spans="1:44" s="17" customFormat="1" x14ac:dyDescent="0.2">
      <c r="B35" s="25" t="s">
        <v>91</v>
      </c>
      <c r="C35" s="25"/>
      <c r="D35" s="25"/>
      <c r="E35" s="47"/>
      <c r="F35" s="111">
        <f>J11</f>
        <v>40</v>
      </c>
      <c r="G35" s="47" t="s">
        <v>94</v>
      </c>
      <c r="H35" s="114" t="e">
        <f>#REF!</f>
        <v>#REF!</v>
      </c>
      <c r="I35" s="47"/>
      <c r="J35" s="47"/>
      <c r="K35" s="47"/>
      <c r="L35" s="56" t="s">
        <v>9</v>
      </c>
      <c r="M35" s="121"/>
      <c r="N35" s="56">
        <v>0.8</v>
      </c>
      <c r="O35" s="56">
        <f>100%-N35</f>
        <v>0.19999999999999996</v>
      </c>
      <c r="P35" s="56">
        <f>100%-N35</f>
        <v>0.19999999999999996</v>
      </c>
      <c r="Q35" s="56">
        <f t="shared" ref="Q35:R37" si="8">1+Q$34</f>
        <v>1.05</v>
      </c>
      <c r="R35" s="121">
        <f t="shared" si="8"/>
        <v>1.1200000000000001</v>
      </c>
      <c r="S35" s="121"/>
      <c r="T35" s="121"/>
      <c r="U35" s="121"/>
      <c r="V35" s="121"/>
      <c r="W35" s="26"/>
      <c r="X35" s="26"/>
      <c r="Y35" s="26"/>
      <c r="Z35" s="28"/>
      <c r="AA35" s="28"/>
      <c r="AB35" s="26"/>
      <c r="AC35" s="26"/>
      <c r="AD35" s="26"/>
      <c r="AE35" s="26"/>
      <c r="AF35" s="26"/>
    </row>
    <row r="36" spans="1:44" s="17" customFormat="1" x14ac:dyDescent="0.2">
      <c r="B36" s="25" t="s">
        <v>93</v>
      </c>
      <c r="I36" s="47"/>
      <c r="J36" s="47"/>
      <c r="K36" s="47"/>
      <c r="L36" s="56" t="s">
        <v>10</v>
      </c>
      <c r="M36" s="121"/>
      <c r="N36" s="56">
        <v>0.8</v>
      </c>
      <c r="O36" s="56">
        <f>100%-N36</f>
        <v>0.19999999999999996</v>
      </c>
      <c r="P36" s="121">
        <f>100%-N36</f>
        <v>0.19999999999999996</v>
      </c>
      <c r="Q36" s="121">
        <f t="shared" si="8"/>
        <v>1.05</v>
      </c>
      <c r="R36" s="121">
        <f t="shared" si="8"/>
        <v>1.1200000000000001</v>
      </c>
      <c r="S36" s="121"/>
      <c r="T36" s="121"/>
      <c r="U36" s="121"/>
      <c r="V36" s="121"/>
      <c r="X36" s="26"/>
      <c r="Y36" s="26"/>
      <c r="Z36" s="28"/>
      <c r="AA36" s="28"/>
      <c r="AB36" s="26"/>
      <c r="AC36" s="26"/>
      <c r="AD36" s="26"/>
      <c r="AE36" s="26"/>
      <c r="AF36" s="26"/>
    </row>
    <row r="37" spans="1:44" s="17" customFormat="1" x14ac:dyDescent="0.2">
      <c r="B37" s="25"/>
      <c r="C37" s="25"/>
      <c r="D37" s="25"/>
      <c r="E37" s="47"/>
      <c r="F37" s="47"/>
      <c r="G37" s="47"/>
      <c r="H37" s="47"/>
      <c r="I37" s="47"/>
      <c r="J37" s="47"/>
      <c r="K37" s="47"/>
      <c r="L37" s="56" t="s">
        <v>11</v>
      </c>
      <c r="M37" s="121"/>
      <c r="N37" s="56">
        <v>0.8</v>
      </c>
      <c r="O37" s="56">
        <f>100%-N37</f>
        <v>0.19999999999999996</v>
      </c>
      <c r="P37" s="121">
        <f>100%-N37</f>
        <v>0.19999999999999996</v>
      </c>
      <c r="Q37" s="121">
        <f t="shared" si="8"/>
        <v>1.05</v>
      </c>
      <c r="R37" s="121">
        <f t="shared" si="8"/>
        <v>1.1200000000000001</v>
      </c>
      <c r="S37" s="121"/>
      <c r="T37" s="121"/>
      <c r="U37" s="121"/>
      <c r="V37" s="121"/>
      <c r="X37" s="26"/>
      <c r="Y37" s="26"/>
      <c r="Z37" s="28"/>
      <c r="AA37" s="28"/>
      <c r="AB37" s="26"/>
      <c r="AC37" s="26"/>
      <c r="AD37" s="26"/>
      <c r="AE37" s="26"/>
      <c r="AF37" s="26"/>
    </row>
    <row r="38" spans="1:44" ht="13.5" thickBot="1" x14ac:dyDescent="0.25">
      <c r="W38" s="17" t="s">
        <v>35</v>
      </c>
    </row>
    <row r="39" spans="1:44" x14ac:dyDescent="0.2">
      <c r="A39">
        <v>811</v>
      </c>
      <c r="B39" s="221" t="s">
        <v>141</v>
      </c>
      <c r="C39" s="222"/>
      <c r="D39" s="222"/>
      <c r="E39" s="223"/>
      <c r="F39" s="223"/>
      <c r="G39" s="223"/>
      <c r="H39" s="224"/>
      <c r="I39" s="51"/>
      <c r="J39" s="175"/>
      <c r="K39" s="176"/>
      <c r="L39" s="176"/>
      <c r="M39" s="176"/>
      <c r="N39" s="213"/>
      <c r="O39" s="115"/>
      <c r="P39" s="115"/>
      <c r="Q39" s="115"/>
      <c r="R39" s="115"/>
      <c r="S39" s="115" t="s">
        <v>148</v>
      </c>
      <c r="T39" s="115"/>
      <c r="U39" s="115"/>
      <c r="V39" s="115"/>
      <c r="AB39" s="35"/>
      <c r="AC39" s="3"/>
      <c r="AD39" s="3"/>
      <c r="AE39" s="3"/>
      <c r="AF39" s="3"/>
      <c r="AG39" s="3"/>
      <c r="AH39" s="3"/>
      <c r="AI39" s="3"/>
      <c r="AJ39" s="3"/>
      <c r="AK39" s="3"/>
      <c r="AL39" s="4"/>
    </row>
    <row r="40" spans="1:44" x14ac:dyDescent="0.2">
      <c r="B40" s="225"/>
      <c r="C40" s="226"/>
      <c r="D40" s="226" t="s">
        <v>2</v>
      </c>
      <c r="E40" s="227" t="s">
        <v>3</v>
      </c>
      <c r="F40" s="227" t="s">
        <v>4</v>
      </c>
      <c r="G40" s="227" t="s">
        <v>5</v>
      </c>
      <c r="H40" s="228" t="s">
        <v>6</v>
      </c>
      <c r="I40" s="9"/>
      <c r="J40" s="177" t="s">
        <v>47</v>
      </c>
      <c r="K40" s="120" t="s">
        <v>48</v>
      </c>
      <c r="L40" s="120" t="s">
        <v>12</v>
      </c>
      <c r="M40" s="120" t="s">
        <v>12</v>
      </c>
      <c r="N40" s="214" t="s">
        <v>12</v>
      </c>
      <c r="O40" s="120"/>
      <c r="P40" s="120"/>
      <c r="Q40" s="120"/>
      <c r="R40" s="120"/>
      <c r="S40" s="138" t="s">
        <v>149</v>
      </c>
      <c r="T40" s="120"/>
      <c r="U40" s="120"/>
      <c r="V40" s="120"/>
      <c r="AB40" s="5"/>
      <c r="AC40" s="1"/>
      <c r="AD40" s="1"/>
      <c r="AE40" s="1"/>
      <c r="AF40" s="1"/>
      <c r="AG40" s="1"/>
      <c r="AH40" s="1"/>
      <c r="AI40" s="1"/>
      <c r="AJ40" s="1"/>
      <c r="AK40" s="1"/>
      <c r="AL40" s="6"/>
    </row>
    <row r="41" spans="1:44" ht="25.5" x14ac:dyDescent="0.2">
      <c r="B41" s="225" t="s">
        <v>0</v>
      </c>
      <c r="C41" s="226" t="s">
        <v>49</v>
      </c>
      <c r="D41" s="229" t="s">
        <v>195</v>
      </c>
      <c r="E41" s="229" t="s">
        <v>195</v>
      </c>
      <c r="F41" s="231" t="s">
        <v>8</v>
      </c>
      <c r="G41" s="229" t="s">
        <v>195</v>
      </c>
      <c r="H41" s="237" t="s">
        <v>193</v>
      </c>
      <c r="I41" s="9"/>
      <c r="J41" s="178" t="s">
        <v>46</v>
      </c>
      <c r="K41" s="119" t="s">
        <v>46</v>
      </c>
      <c r="L41" s="139" t="s">
        <v>97</v>
      </c>
      <c r="M41" s="139" t="s">
        <v>46</v>
      </c>
      <c r="N41" s="215" t="s">
        <v>46</v>
      </c>
      <c r="O41" s="119"/>
      <c r="P41" s="119"/>
      <c r="Q41" s="119"/>
      <c r="R41" s="119"/>
      <c r="S41" s="199" t="s">
        <v>150</v>
      </c>
      <c r="T41" s="119"/>
      <c r="U41" s="119"/>
      <c r="V41" s="119"/>
      <c r="AB41" s="5"/>
      <c r="AC41" s="1"/>
      <c r="AD41" s="1"/>
      <c r="AE41" s="1"/>
      <c r="AF41" s="1"/>
      <c r="AG41" s="1"/>
      <c r="AH41" s="1"/>
      <c r="AI41" s="1"/>
      <c r="AJ41" s="1"/>
      <c r="AK41" s="1"/>
      <c r="AL41" s="6"/>
    </row>
    <row r="42" spans="1:44" ht="25.5" x14ac:dyDescent="0.2">
      <c r="B42" s="225" t="s">
        <v>1</v>
      </c>
      <c r="C42" s="226" t="s">
        <v>50</v>
      </c>
      <c r="D42" s="229" t="s">
        <v>195</v>
      </c>
      <c r="E42" s="229" t="s">
        <v>195</v>
      </c>
      <c r="F42" s="231" t="s">
        <v>8</v>
      </c>
      <c r="G42" s="229" t="s">
        <v>195</v>
      </c>
      <c r="H42" s="230" t="s">
        <v>195</v>
      </c>
      <c r="I42" s="9"/>
      <c r="J42" s="179"/>
      <c r="K42" s="115"/>
      <c r="L42" s="115" t="s">
        <v>90</v>
      </c>
      <c r="M42" s="115" t="s">
        <v>120</v>
      </c>
      <c r="N42" s="216" t="s">
        <v>95</v>
      </c>
      <c r="O42" s="120"/>
      <c r="P42" s="120"/>
      <c r="Q42" s="120"/>
      <c r="R42" s="115"/>
      <c r="S42" s="199" t="s">
        <v>151</v>
      </c>
      <c r="T42" s="115"/>
      <c r="U42" s="115"/>
      <c r="AB42" s="5"/>
      <c r="AC42" s="1"/>
      <c r="AD42" s="1"/>
      <c r="AE42" s="1"/>
      <c r="AF42" s="1"/>
      <c r="AG42" s="1"/>
      <c r="AH42" s="1"/>
      <c r="AI42" s="1"/>
      <c r="AJ42" s="1"/>
      <c r="AK42" s="1"/>
      <c r="AL42" s="6"/>
    </row>
    <row r="43" spans="1:44" x14ac:dyDescent="0.2">
      <c r="B43" s="225"/>
      <c r="C43" s="226"/>
      <c r="D43" s="226"/>
      <c r="E43" s="227"/>
      <c r="F43" s="227"/>
      <c r="G43" s="227"/>
      <c r="H43" s="228"/>
      <c r="I43" s="9"/>
      <c r="J43" s="179"/>
      <c r="K43" s="115"/>
      <c r="L43" s="115"/>
      <c r="M43" s="115"/>
      <c r="N43" s="216"/>
      <c r="O43" s="120"/>
      <c r="P43" s="138"/>
      <c r="Q43" s="120"/>
      <c r="R43" s="138"/>
      <c r="S43" s="199" t="s">
        <v>152</v>
      </c>
      <c r="T43" s="138"/>
      <c r="U43" s="138"/>
      <c r="AB43" s="5"/>
      <c r="AC43" s="1"/>
      <c r="AD43" s="1"/>
      <c r="AE43" s="1"/>
      <c r="AF43" s="1"/>
      <c r="AG43" s="1"/>
      <c r="AH43" s="1"/>
      <c r="AI43" s="1"/>
      <c r="AJ43" s="1"/>
      <c r="AK43" s="1"/>
      <c r="AL43" s="6"/>
    </row>
    <row r="44" spans="1:44" x14ac:dyDescent="0.2">
      <c r="B44" s="225" t="s">
        <v>9</v>
      </c>
      <c r="C44" s="226"/>
      <c r="D44" s="226">
        <v>1</v>
      </c>
      <c r="E44" s="227">
        <v>1</v>
      </c>
      <c r="F44" s="227">
        <v>1</v>
      </c>
      <c r="G44" s="227">
        <v>1</v>
      </c>
      <c r="H44" s="228">
        <v>1</v>
      </c>
      <c r="I44" s="9"/>
      <c r="J44" s="180">
        <f>(SUM(D44:I44)*J$11)</f>
        <v>200</v>
      </c>
      <c r="K44" s="122">
        <f>(5*11*K$11)</f>
        <v>660</v>
      </c>
      <c r="L44" s="329">
        <f>K44+J44</f>
        <v>860</v>
      </c>
      <c r="M44" s="329">
        <f>J44+8*11*5</f>
        <v>640</v>
      </c>
      <c r="N44" s="330">
        <f>J44</f>
        <v>200</v>
      </c>
      <c r="O44" s="125"/>
      <c r="P44" s="125">
        <f>L44/5</f>
        <v>172</v>
      </c>
      <c r="Q44" s="125">
        <f t="shared" ref="Q44:R44" si="9">M44/5</f>
        <v>128</v>
      </c>
      <c r="R44" s="125">
        <f t="shared" si="9"/>
        <v>40</v>
      </c>
      <c r="S44" s="200" t="s">
        <v>153</v>
      </c>
      <c r="T44" s="125"/>
      <c r="U44" s="125"/>
      <c r="W44" s="18">
        <f>+L44/5</f>
        <v>172</v>
      </c>
      <c r="Y44" s="11">
        <f>+W44*$Y$2</f>
        <v>1080.1600000000001</v>
      </c>
      <c r="Z44" s="11">
        <f>+ROUND(Y44/$Z$2,2)</f>
        <v>90.01</v>
      </c>
      <c r="AB44" s="36">
        <f>+Z44*$AB$2</f>
        <v>90.01</v>
      </c>
      <c r="AC44" s="37">
        <f>+Z44*$AC$2</f>
        <v>180.02</v>
      </c>
      <c r="AD44" s="37">
        <f>+Z44*$AD$2</f>
        <v>270.03000000000003</v>
      </c>
      <c r="AE44" s="37">
        <f>+Z44*$AE$2</f>
        <v>360.04</v>
      </c>
      <c r="AF44" s="37">
        <f>+Z44*$AF$2</f>
        <v>450.05</v>
      </c>
      <c r="AG44" s="1"/>
      <c r="AH44" s="38">
        <f>+W44/12</f>
        <v>14.333333333333334</v>
      </c>
      <c r="AI44" s="39">
        <f>+AH44*$AI$2</f>
        <v>28.666666666666668</v>
      </c>
      <c r="AJ44" s="39">
        <f>+AH44*$AJ$2</f>
        <v>43</v>
      </c>
      <c r="AK44" s="39">
        <f>+AH44*$AK$2</f>
        <v>57.333333333333336</v>
      </c>
      <c r="AL44" s="40">
        <f>+AH44*$AL$2</f>
        <v>71.666666666666671</v>
      </c>
      <c r="AN44">
        <f t="shared" ref="AN44:AR46" si="10">+AH44*$Z$2</f>
        <v>172</v>
      </c>
      <c r="AO44">
        <f t="shared" si="10"/>
        <v>344</v>
      </c>
      <c r="AP44">
        <f t="shared" si="10"/>
        <v>516</v>
      </c>
      <c r="AQ44">
        <f t="shared" si="10"/>
        <v>688</v>
      </c>
      <c r="AR44">
        <f t="shared" si="10"/>
        <v>860</v>
      </c>
    </row>
    <row r="45" spans="1:44" x14ac:dyDescent="0.2">
      <c r="B45" s="225" t="s">
        <v>10</v>
      </c>
      <c r="C45" s="226"/>
      <c r="D45" s="226">
        <f>D44+D46</f>
        <v>4.25</v>
      </c>
      <c r="E45" s="227">
        <f>E44+E46</f>
        <v>4.25</v>
      </c>
      <c r="F45" s="227">
        <f>F44+F46</f>
        <v>7.25</v>
      </c>
      <c r="G45" s="227">
        <f>G44+G46</f>
        <v>4.25</v>
      </c>
      <c r="H45" s="228">
        <f>H44+H46</f>
        <v>4.25</v>
      </c>
      <c r="I45" s="9"/>
      <c r="J45" s="180">
        <f>J44+J46</f>
        <v>970</v>
      </c>
      <c r="K45" s="122">
        <f>K44</f>
        <v>660</v>
      </c>
      <c r="L45" s="125">
        <f>K45+J45</f>
        <v>1630</v>
      </c>
      <c r="M45" s="125">
        <f>J45+8*11*5</f>
        <v>1410</v>
      </c>
      <c r="N45" s="217">
        <f>J45</f>
        <v>970</v>
      </c>
      <c r="O45" s="125"/>
      <c r="P45" s="125">
        <f>L45/5</f>
        <v>326</v>
      </c>
      <c r="Q45" s="125">
        <f t="shared" ref="Q45:Q46" si="11">M45/5</f>
        <v>282</v>
      </c>
      <c r="R45" s="125">
        <f t="shared" ref="R45:R46" si="12">N45/5</f>
        <v>194</v>
      </c>
      <c r="S45" s="201"/>
      <c r="T45" s="125"/>
      <c r="U45" s="125"/>
      <c r="V45" s="125"/>
      <c r="W45" s="18">
        <f>+L45/5</f>
        <v>326</v>
      </c>
      <c r="Y45" s="11">
        <f>+W45*$Y$2</f>
        <v>2047.28</v>
      </c>
      <c r="Z45" s="15">
        <f>+ROUND(Y45/$Z$2,2)</f>
        <v>170.61</v>
      </c>
      <c r="AA45" s="16">
        <f>ROUND(+Z45/$AA$2,2)</f>
        <v>85.31</v>
      </c>
      <c r="AB45" s="36">
        <f>+Z45*$AB$2</f>
        <v>170.61</v>
      </c>
      <c r="AC45" s="37">
        <f>+Z45*$AC$2</f>
        <v>341.22</v>
      </c>
      <c r="AD45" s="37">
        <f>+Z45*$AD$2</f>
        <v>511.83000000000004</v>
      </c>
      <c r="AE45" s="37">
        <f>+Z45*$AE$2</f>
        <v>682.44</v>
      </c>
      <c r="AF45" s="37">
        <f>+Z45*$AF$2</f>
        <v>853.05000000000007</v>
      </c>
      <c r="AG45" s="1"/>
      <c r="AH45" s="38">
        <f>+W45/12</f>
        <v>27.166666666666668</v>
      </c>
      <c r="AI45" s="39">
        <f t="shared" ref="AI45:AI46" si="13">+AH45*$AI$2</f>
        <v>54.333333333333336</v>
      </c>
      <c r="AJ45" s="39">
        <f t="shared" ref="AJ45:AJ46" si="14">+AH45*$AJ$2</f>
        <v>81.5</v>
      </c>
      <c r="AK45" s="39">
        <f t="shared" ref="AK45:AK46" si="15">+AH45*$AK$2</f>
        <v>108.66666666666667</v>
      </c>
      <c r="AL45" s="40">
        <f t="shared" ref="AL45:AL46" si="16">+AH45*$AL$2</f>
        <v>135.83333333333334</v>
      </c>
      <c r="AN45">
        <f t="shared" si="10"/>
        <v>326</v>
      </c>
      <c r="AO45">
        <f t="shared" si="10"/>
        <v>652</v>
      </c>
      <c r="AP45">
        <f t="shared" si="10"/>
        <v>978</v>
      </c>
      <c r="AQ45">
        <f t="shared" si="10"/>
        <v>1304</v>
      </c>
      <c r="AR45">
        <f t="shared" si="10"/>
        <v>1630</v>
      </c>
    </row>
    <row r="46" spans="1:44" x14ac:dyDescent="0.2">
      <c r="B46" s="225" t="s">
        <v>11</v>
      </c>
      <c r="C46" s="226"/>
      <c r="D46" s="229">
        <v>3.25</v>
      </c>
      <c r="E46" s="231">
        <v>3.25</v>
      </c>
      <c r="F46" s="227">
        <v>6.25</v>
      </c>
      <c r="G46" s="231">
        <v>3.25</v>
      </c>
      <c r="H46" s="237">
        <v>3.25</v>
      </c>
      <c r="I46" s="9"/>
      <c r="J46" s="180">
        <f>(SUM(D46:I46)*J$11)</f>
        <v>770</v>
      </c>
      <c r="K46" s="122">
        <f>(5*11*K$11)</f>
        <v>660</v>
      </c>
      <c r="L46" s="329">
        <f>K46+J46</f>
        <v>1430</v>
      </c>
      <c r="M46" s="329">
        <f>J46+8*11*5</f>
        <v>1210</v>
      </c>
      <c r="N46" s="330">
        <f>J46</f>
        <v>770</v>
      </c>
      <c r="O46" s="125"/>
      <c r="P46" s="125">
        <f>L46/5</f>
        <v>286</v>
      </c>
      <c r="Q46" s="125">
        <f t="shared" si="11"/>
        <v>242</v>
      </c>
      <c r="R46" s="125">
        <f t="shared" si="12"/>
        <v>154</v>
      </c>
      <c r="S46" s="197"/>
      <c r="T46" s="125"/>
      <c r="U46" s="125"/>
      <c r="V46" s="125"/>
      <c r="W46" s="18">
        <f>+L46/5</f>
        <v>286</v>
      </c>
      <c r="Y46" s="11">
        <f>+W46*$Y$2</f>
        <v>1796.0800000000002</v>
      </c>
      <c r="Z46" s="11">
        <f>+ROUND(Y46/$Z$2,2)</f>
        <v>149.66999999999999</v>
      </c>
      <c r="AB46" s="36">
        <f>+Z46*$AB$2</f>
        <v>149.66999999999999</v>
      </c>
      <c r="AC46" s="37">
        <f>+Z46*$AC$2</f>
        <v>299.33999999999997</v>
      </c>
      <c r="AD46" s="37">
        <f>+Z46*$AD$2</f>
        <v>449.01</v>
      </c>
      <c r="AE46" s="37">
        <f>+Z46*$AE$2</f>
        <v>598.67999999999995</v>
      </c>
      <c r="AF46" s="37">
        <f>+Z46*$AF$2</f>
        <v>748.34999999999991</v>
      </c>
      <c r="AG46" s="1"/>
      <c r="AH46" s="38">
        <f>+W46/12</f>
        <v>23.833333333333332</v>
      </c>
      <c r="AI46" s="39">
        <f t="shared" si="13"/>
        <v>47.666666666666664</v>
      </c>
      <c r="AJ46" s="39">
        <f t="shared" si="14"/>
        <v>71.5</v>
      </c>
      <c r="AK46" s="39">
        <f t="shared" si="15"/>
        <v>95.333333333333329</v>
      </c>
      <c r="AL46" s="40">
        <f t="shared" si="16"/>
        <v>119.16666666666666</v>
      </c>
      <c r="AN46">
        <f t="shared" si="10"/>
        <v>286</v>
      </c>
      <c r="AO46">
        <f t="shared" si="10"/>
        <v>572</v>
      </c>
      <c r="AP46">
        <f t="shared" si="10"/>
        <v>858</v>
      </c>
      <c r="AQ46">
        <f t="shared" si="10"/>
        <v>1144</v>
      </c>
      <c r="AR46">
        <f t="shared" si="10"/>
        <v>1430</v>
      </c>
    </row>
    <row r="47" spans="1:44" x14ac:dyDescent="0.2">
      <c r="B47" s="233"/>
      <c r="C47" s="234"/>
      <c r="D47" s="234"/>
      <c r="E47" s="235"/>
      <c r="F47" s="235"/>
      <c r="G47" s="235"/>
      <c r="H47" s="236"/>
      <c r="I47" s="52"/>
      <c r="J47" s="181"/>
      <c r="K47" s="126" t="s">
        <v>13</v>
      </c>
      <c r="L47" s="107">
        <f>10%*L44+20%*L45+70%*L46</f>
        <v>1413</v>
      </c>
      <c r="M47" s="107">
        <f t="shared" ref="M47:N47" si="17">10%*M44+20%*M45+70%*M46</f>
        <v>1193</v>
      </c>
      <c r="N47" s="218">
        <f t="shared" si="17"/>
        <v>753</v>
      </c>
      <c r="O47" s="122"/>
      <c r="P47" s="122"/>
      <c r="Q47" s="122"/>
      <c r="R47" s="122"/>
      <c r="T47" s="107"/>
      <c r="U47" s="107"/>
      <c r="V47" s="107"/>
      <c r="AB47" s="7"/>
      <c r="AC47" s="8"/>
      <c r="AD47" s="8"/>
      <c r="AE47" s="8"/>
      <c r="AF47" s="8"/>
      <c r="AG47" s="8"/>
      <c r="AH47" s="8"/>
      <c r="AI47" s="8"/>
      <c r="AJ47" s="8"/>
      <c r="AK47" s="8"/>
      <c r="AL47" s="41"/>
    </row>
    <row r="48" spans="1:44" x14ac:dyDescent="0.2">
      <c r="B48" s="113"/>
      <c r="C48" s="112"/>
      <c r="D48" s="112"/>
      <c r="E48" s="108"/>
      <c r="F48" s="108"/>
      <c r="G48" s="108"/>
      <c r="H48" s="108"/>
      <c r="I48" s="108"/>
      <c r="J48" s="183"/>
      <c r="K48" s="184" t="s">
        <v>103</v>
      </c>
      <c r="L48" s="109">
        <f>(L47-L$8)/L$8</f>
        <v>3.2894736842105261E-2</v>
      </c>
      <c r="M48" s="109">
        <f>(M47-L$8)/L$8</f>
        <v>-0.12792397660818713</v>
      </c>
      <c r="N48" s="219">
        <f>(N47-L$8)/L$8</f>
        <v>-0.44956140350877194</v>
      </c>
      <c r="O48" s="123"/>
      <c r="P48" s="123"/>
      <c r="Q48" s="123"/>
      <c r="R48" s="123"/>
      <c r="S48" s="115" t="s">
        <v>154</v>
      </c>
      <c r="T48" s="109"/>
      <c r="U48" s="109"/>
      <c r="V48" s="109"/>
    </row>
    <row r="49" spans="1:44" ht="13.5" thickBot="1" x14ac:dyDescent="0.25">
      <c r="B49" s="1"/>
      <c r="C49" s="1"/>
      <c r="D49" s="1"/>
      <c r="E49" s="115"/>
      <c r="F49" s="115"/>
      <c r="G49" s="115"/>
      <c r="H49" s="115"/>
      <c r="I49" s="115"/>
      <c r="J49" s="182"/>
      <c r="K49" s="145" t="s">
        <v>104</v>
      </c>
      <c r="L49" s="145">
        <f>L48</f>
        <v>3.2894736842105261E-2</v>
      </c>
      <c r="M49" s="145">
        <f>((M47*(1+Q$10))-$L$8)/$L$8</f>
        <v>-8.432017543859642E-2</v>
      </c>
      <c r="N49" s="220">
        <f>((N47*(1+R$10))-$L$8)/$L$8</f>
        <v>-0.38350877192982447</v>
      </c>
      <c r="O49" s="123"/>
      <c r="P49" s="123"/>
      <c r="Q49" s="123"/>
      <c r="R49" s="123"/>
      <c r="S49" s="120" t="s">
        <v>155</v>
      </c>
      <c r="T49" s="123"/>
      <c r="U49" s="123"/>
      <c r="V49" s="123"/>
    </row>
    <row r="50" spans="1:44" ht="13.5" thickBot="1" x14ac:dyDescent="0.25">
      <c r="O50" s="115"/>
      <c r="P50" s="115"/>
      <c r="Q50" s="115"/>
      <c r="R50" s="115"/>
    </row>
    <row r="51" spans="1:44" ht="15.75" x14ac:dyDescent="0.25">
      <c r="A51">
        <v>812</v>
      </c>
      <c r="B51" s="331"/>
      <c r="C51" s="332"/>
      <c r="D51" s="332"/>
      <c r="E51" s="223"/>
      <c r="F51" s="223"/>
      <c r="G51" s="223"/>
      <c r="H51" s="224"/>
      <c r="I51" s="51"/>
      <c r="J51" s="175"/>
      <c r="K51" s="176"/>
      <c r="L51" s="176"/>
      <c r="M51" s="176"/>
      <c r="N51" s="213"/>
      <c r="O51" s="115"/>
      <c r="P51" s="115"/>
      <c r="Q51" s="115"/>
      <c r="R51" s="115"/>
      <c r="S51" s="202" t="s">
        <v>156</v>
      </c>
      <c r="T51" s="115"/>
      <c r="U51" s="115"/>
      <c r="V51" s="115"/>
      <c r="AB51" s="35"/>
      <c r="AC51" s="3"/>
      <c r="AD51" s="3"/>
      <c r="AE51" s="3"/>
      <c r="AF51" s="3"/>
      <c r="AG51" s="3"/>
      <c r="AH51" s="3"/>
      <c r="AI51" s="3"/>
      <c r="AJ51" s="3"/>
      <c r="AK51" s="3"/>
      <c r="AL51" s="4"/>
    </row>
    <row r="52" spans="1:44" ht="15" x14ac:dyDescent="0.2">
      <c r="B52" s="225"/>
      <c r="C52" s="226"/>
      <c r="D52" s="226"/>
      <c r="E52" s="227"/>
      <c r="F52" s="227"/>
      <c r="G52" s="227"/>
      <c r="H52" s="228"/>
      <c r="I52" s="9"/>
      <c r="J52" s="177"/>
      <c r="K52" s="120"/>
      <c r="L52" s="120"/>
      <c r="M52" s="120"/>
      <c r="N52" s="214"/>
      <c r="O52" s="120"/>
      <c r="P52" s="120"/>
      <c r="Q52" s="120"/>
      <c r="R52" s="120"/>
      <c r="S52" s="203" t="s">
        <v>157</v>
      </c>
      <c r="T52" s="120"/>
      <c r="U52" s="120"/>
      <c r="V52" s="120"/>
      <c r="AB52" s="5"/>
      <c r="AC52" s="1"/>
      <c r="AD52" s="1"/>
      <c r="AE52" s="1"/>
      <c r="AF52" s="1"/>
      <c r="AG52" s="1"/>
      <c r="AH52" s="1"/>
      <c r="AI52" s="1"/>
      <c r="AJ52" s="1"/>
      <c r="AK52" s="1"/>
      <c r="AL52" s="6"/>
    </row>
    <row r="53" spans="1:44" ht="15" x14ac:dyDescent="0.2">
      <c r="B53" s="225"/>
      <c r="C53" s="226"/>
      <c r="D53" s="229"/>
      <c r="E53" s="229"/>
      <c r="F53" s="229"/>
      <c r="G53" s="229"/>
      <c r="H53" s="237"/>
      <c r="I53" s="9"/>
      <c r="J53" s="178"/>
      <c r="K53" s="119"/>
      <c r="L53" s="139"/>
      <c r="M53" s="139"/>
      <c r="N53" s="215"/>
      <c r="O53" s="119"/>
      <c r="P53" s="119"/>
      <c r="Q53" s="119"/>
      <c r="R53" s="119"/>
      <c r="S53" s="204" t="s">
        <v>158</v>
      </c>
      <c r="T53" s="119"/>
      <c r="U53" s="119"/>
      <c r="V53" s="119"/>
      <c r="AB53" s="5"/>
      <c r="AC53" s="1"/>
      <c r="AD53" s="1"/>
      <c r="AE53" s="1"/>
      <c r="AF53" s="1"/>
      <c r="AG53" s="1"/>
      <c r="AH53" s="1"/>
      <c r="AI53" s="1"/>
      <c r="AJ53" s="1"/>
      <c r="AK53" s="1"/>
      <c r="AL53" s="6"/>
    </row>
    <row r="54" spans="1:44" ht="15.75" x14ac:dyDescent="0.2">
      <c r="B54" s="225"/>
      <c r="C54" s="226"/>
      <c r="D54" s="229"/>
      <c r="E54" s="229"/>
      <c r="F54" s="227"/>
      <c r="G54" s="229"/>
      <c r="H54" s="230"/>
      <c r="I54" s="9"/>
      <c r="J54" s="179"/>
      <c r="K54" s="115"/>
      <c r="L54" s="115"/>
      <c r="M54" s="115"/>
      <c r="N54" s="216"/>
      <c r="O54" s="120"/>
      <c r="P54" s="120"/>
      <c r="Q54" s="120"/>
      <c r="R54" s="115"/>
      <c r="S54" s="205" t="s">
        <v>159</v>
      </c>
      <c r="T54" s="115"/>
      <c r="U54" s="115"/>
      <c r="V54" s="115"/>
      <c r="AB54" s="5"/>
      <c r="AC54" s="1"/>
      <c r="AD54" s="1"/>
      <c r="AE54" s="1"/>
      <c r="AF54" s="1"/>
      <c r="AG54" s="1"/>
      <c r="AH54" s="1"/>
      <c r="AI54" s="1"/>
      <c r="AJ54" s="1"/>
      <c r="AK54" s="1"/>
      <c r="AL54" s="6"/>
    </row>
    <row r="55" spans="1:44" x14ac:dyDescent="0.2">
      <c r="B55" s="225"/>
      <c r="C55" s="226"/>
      <c r="D55" s="226"/>
      <c r="E55" s="227"/>
      <c r="F55" s="227"/>
      <c r="G55" s="227"/>
      <c r="H55" s="228"/>
      <c r="I55" s="9"/>
      <c r="J55" s="179"/>
      <c r="K55" s="115"/>
      <c r="L55" s="115"/>
      <c r="M55" s="115"/>
      <c r="N55" s="216"/>
      <c r="O55" s="120"/>
      <c r="P55" s="138"/>
      <c r="Q55" s="120"/>
      <c r="R55" s="138"/>
      <c r="S55" s="206"/>
      <c r="T55" s="138"/>
      <c r="U55" s="138"/>
      <c r="V55" s="115"/>
      <c r="AB55" s="5"/>
      <c r="AC55" s="1"/>
      <c r="AD55" s="1"/>
      <c r="AE55" s="1"/>
      <c r="AF55" s="1"/>
      <c r="AG55" s="1"/>
      <c r="AH55" s="1"/>
      <c r="AI55" s="1"/>
      <c r="AJ55" s="1"/>
      <c r="AK55" s="1"/>
      <c r="AL55" s="6"/>
    </row>
    <row r="56" spans="1:44" ht="15" x14ac:dyDescent="0.2">
      <c r="B56" s="225"/>
      <c r="C56" s="226"/>
      <c r="D56" s="226"/>
      <c r="E56" s="227"/>
      <c r="F56" s="227"/>
      <c r="G56" s="227"/>
      <c r="H56" s="228"/>
      <c r="I56" s="9"/>
      <c r="J56" s="180"/>
      <c r="K56" s="122"/>
      <c r="L56" s="125"/>
      <c r="M56" s="125"/>
      <c r="N56" s="217"/>
      <c r="O56" s="125"/>
      <c r="P56" s="125">
        <f>L56/5</f>
        <v>0</v>
      </c>
      <c r="Q56" s="125">
        <f t="shared" ref="Q56:Q58" si="18">M56/5</f>
        <v>0</v>
      </c>
      <c r="R56" s="125">
        <f t="shared" ref="R56:R58" si="19">N56/5</f>
        <v>0</v>
      </c>
      <c r="S56" s="203" t="s">
        <v>160</v>
      </c>
      <c r="T56" s="125"/>
      <c r="U56" s="125"/>
      <c r="V56" s="125"/>
      <c r="W56" s="18">
        <f>+L56/5</f>
        <v>0</v>
      </c>
      <c r="Y56" s="11">
        <f>+W56*$Y$2</f>
        <v>0</v>
      </c>
      <c r="Z56" s="11">
        <f>+ROUND(Y56/$Z$2,2)</f>
        <v>0</v>
      </c>
      <c r="AB56" s="36">
        <f>+Z56*$AB$2</f>
        <v>0</v>
      </c>
      <c r="AC56" s="37">
        <f>+Z56*$AC$2</f>
        <v>0</v>
      </c>
      <c r="AD56" s="37">
        <f>+Z56*$AD$2</f>
        <v>0</v>
      </c>
      <c r="AE56" s="37">
        <f>+Z56*$AE$2</f>
        <v>0</v>
      </c>
      <c r="AF56" s="37">
        <f>+Z56*$AF$2</f>
        <v>0</v>
      </c>
      <c r="AG56" s="1"/>
      <c r="AH56" s="38">
        <f>+W56/12</f>
        <v>0</v>
      </c>
      <c r="AI56" s="39">
        <f>+AH56*$AI$2</f>
        <v>0</v>
      </c>
      <c r="AJ56" s="39">
        <f>+AH56*$AJ$2</f>
        <v>0</v>
      </c>
      <c r="AK56" s="39">
        <f>+AH56*$AK$2</f>
        <v>0</v>
      </c>
      <c r="AL56" s="40">
        <f>+AH56*$AL$2</f>
        <v>0</v>
      </c>
      <c r="AN56">
        <f t="shared" ref="AN56:AR58" si="20">+AH56*$Z$2</f>
        <v>0</v>
      </c>
      <c r="AO56">
        <f t="shared" si="20"/>
        <v>0</v>
      </c>
      <c r="AP56">
        <f t="shared" si="20"/>
        <v>0</v>
      </c>
      <c r="AQ56">
        <f t="shared" si="20"/>
        <v>0</v>
      </c>
      <c r="AR56">
        <f t="shared" si="20"/>
        <v>0</v>
      </c>
    </row>
    <row r="57" spans="1:44" ht="15" x14ac:dyDescent="0.2">
      <c r="B57" s="225"/>
      <c r="C57" s="226"/>
      <c r="D57" s="226"/>
      <c r="E57" s="227"/>
      <c r="F57" s="227"/>
      <c r="G57" s="227"/>
      <c r="H57" s="228"/>
      <c r="I57" s="9"/>
      <c r="J57" s="180"/>
      <c r="K57" s="122"/>
      <c r="L57" s="125"/>
      <c r="M57" s="125"/>
      <c r="N57" s="217"/>
      <c r="O57" s="125"/>
      <c r="P57" s="125">
        <f>L57/5</f>
        <v>0</v>
      </c>
      <c r="Q57" s="125">
        <f t="shared" si="18"/>
        <v>0</v>
      </c>
      <c r="R57" s="125">
        <f t="shared" si="19"/>
        <v>0</v>
      </c>
      <c r="S57" s="203" t="s">
        <v>161</v>
      </c>
      <c r="T57" s="125"/>
      <c r="U57" s="125"/>
      <c r="V57" s="125"/>
      <c r="W57" s="18">
        <f>+L57/5</f>
        <v>0</v>
      </c>
      <c r="Y57" s="11">
        <f>+W57*$Y$2</f>
        <v>0</v>
      </c>
      <c r="Z57" s="15">
        <f>+ROUND(Y57/$Z$2,2)</f>
        <v>0</v>
      </c>
      <c r="AA57" s="16">
        <f>ROUND(+Z57/$AA$2,2)</f>
        <v>0</v>
      </c>
      <c r="AB57" s="36">
        <f>+Z57*$AB$2</f>
        <v>0</v>
      </c>
      <c r="AC57" s="37">
        <f>+Z57*$AC$2</f>
        <v>0</v>
      </c>
      <c r="AD57" s="37">
        <f>+Z57*$AD$2</f>
        <v>0</v>
      </c>
      <c r="AE57" s="37">
        <f>+Z57*$AE$2</f>
        <v>0</v>
      </c>
      <c r="AF57" s="37">
        <f>+Z57*$AF$2</f>
        <v>0</v>
      </c>
      <c r="AG57" s="1"/>
      <c r="AH57" s="38">
        <f>+W57/12</f>
        <v>0</v>
      </c>
      <c r="AI57" s="39">
        <f t="shared" ref="AI57:AI58" si="21">+AH57*$AI$2</f>
        <v>0</v>
      </c>
      <c r="AJ57" s="39">
        <f t="shared" ref="AJ57:AJ58" si="22">+AH57*$AJ$2</f>
        <v>0</v>
      </c>
      <c r="AK57" s="39">
        <f t="shared" ref="AK57:AK58" si="23">+AH57*$AK$2</f>
        <v>0</v>
      </c>
      <c r="AL57" s="40">
        <f t="shared" ref="AL57:AL58" si="24">+AH57*$AL$2</f>
        <v>0</v>
      </c>
      <c r="AN57">
        <f t="shared" si="20"/>
        <v>0</v>
      </c>
      <c r="AO57">
        <f t="shared" si="20"/>
        <v>0</v>
      </c>
      <c r="AP57">
        <f t="shared" si="20"/>
        <v>0</v>
      </c>
      <c r="AQ57">
        <f t="shared" si="20"/>
        <v>0</v>
      </c>
      <c r="AR57">
        <f t="shared" si="20"/>
        <v>0</v>
      </c>
    </row>
    <row r="58" spans="1:44" ht="15.75" x14ac:dyDescent="0.2">
      <c r="B58" s="225"/>
      <c r="C58" s="226"/>
      <c r="D58" s="229"/>
      <c r="E58" s="231"/>
      <c r="F58" s="227"/>
      <c r="G58" s="231"/>
      <c r="H58" s="237"/>
      <c r="I58" s="9"/>
      <c r="J58" s="180"/>
      <c r="K58" s="122"/>
      <c r="L58" s="125"/>
      <c r="M58" s="125"/>
      <c r="N58" s="217"/>
      <c r="O58" s="125"/>
      <c r="P58" s="125">
        <f>L58/5</f>
        <v>0</v>
      </c>
      <c r="Q58" s="125">
        <f t="shared" si="18"/>
        <v>0</v>
      </c>
      <c r="R58" s="125">
        <f t="shared" si="19"/>
        <v>0</v>
      </c>
      <c r="S58" s="205" t="s">
        <v>162</v>
      </c>
      <c r="T58" s="125"/>
      <c r="U58" s="125"/>
      <c r="V58" s="125"/>
      <c r="W58" s="18">
        <f>+L58/5</f>
        <v>0</v>
      </c>
      <c r="Y58" s="11">
        <f>+W58*$Y$2</f>
        <v>0</v>
      </c>
      <c r="Z58" s="11">
        <f>+ROUND(Y58/$Z$2,2)</f>
        <v>0</v>
      </c>
      <c r="AB58" s="36">
        <f>+Z58*$AB$2</f>
        <v>0</v>
      </c>
      <c r="AC58" s="37">
        <f>+Z58*$AC$2</f>
        <v>0</v>
      </c>
      <c r="AD58" s="37">
        <f>+Z58*$AD$2</f>
        <v>0</v>
      </c>
      <c r="AE58" s="37">
        <f>+Z58*$AE$2</f>
        <v>0</v>
      </c>
      <c r="AF58" s="37">
        <f>+Z58*$AF$2</f>
        <v>0</v>
      </c>
      <c r="AG58" s="1"/>
      <c r="AH58" s="38">
        <f>+W58/12</f>
        <v>0</v>
      </c>
      <c r="AI58" s="39">
        <f t="shared" si="21"/>
        <v>0</v>
      </c>
      <c r="AJ58" s="39">
        <f t="shared" si="22"/>
        <v>0</v>
      </c>
      <c r="AK58" s="39">
        <f t="shared" si="23"/>
        <v>0</v>
      </c>
      <c r="AL58" s="40">
        <f t="shared" si="24"/>
        <v>0</v>
      </c>
      <c r="AN58">
        <f t="shared" si="20"/>
        <v>0</v>
      </c>
      <c r="AO58">
        <f t="shared" si="20"/>
        <v>0</v>
      </c>
      <c r="AP58">
        <f t="shared" si="20"/>
        <v>0</v>
      </c>
      <c r="AQ58">
        <f t="shared" si="20"/>
        <v>0</v>
      </c>
      <c r="AR58">
        <f t="shared" si="20"/>
        <v>0</v>
      </c>
    </row>
    <row r="59" spans="1:44" ht="15" x14ac:dyDescent="0.2">
      <c r="B59" s="233"/>
      <c r="C59" s="234"/>
      <c r="D59" s="234"/>
      <c r="E59" s="235"/>
      <c r="F59" s="235"/>
      <c r="G59" s="235"/>
      <c r="H59" s="236"/>
      <c r="I59" s="52"/>
      <c r="J59" s="181"/>
      <c r="K59" s="126"/>
      <c r="L59" s="107"/>
      <c r="M59" s="107"/>
      <c r="N59" s="218"/>
      <c r="O59" s="122"/>
      <c r="P59" s="122"/>
      <c r="Q59" s="122"/>
      <c r="R59" s="122"/>
      <c r="S59" s="203" t="s">
        <v>163</v>
      </c>
      <c r="T59" s="122"/>
      <c r="U59" s="122"/>
      <c r="V59" s="123" t="e">
        <f>(R59-L59)/L59</f>
        <v>#DIV/0!</v>
      </c>
      <c r="AB59" s="7"/>
      <c r="AC59" s="8"/>
      <c r="AD59" s="8"/>
      <c r="AE59" s="8"/>
      <c r="AF59" s="8"/>
      <c r="AG59" s="8"/>
      <c r="AH59" s="8"/>
      <c r="AI59" s="8"/>
      <c r="AJ59" s="8"/>
      <c r="AK59" s="8"/>
      <c r="AL59" s="41"/>
    </row>
    <row r="60" spans="1:44" ht="15" x14ac:dyDescent="0.2">
      <c r="J60" s="183"/>
      <c r="K60" s="184"/>
      <c r="L60" s="109"/>
      <c r="M60" s="109"/>
      <c r="N60" s="219"/>
      <c r="O60" s="123"/>
      <c r="P60" s="123"/>
      <c r="Q60" s="123"/>
      <c r="R60" s="123"/>
      <c r="S60" s="203" t="s">
        <v>164</v>
      </c>
      <c r="T60" s="123"/>
      <c r="U60" s="123"/>
      <c r="V60" s="123"/>
    </row>
    <row r="61" spans="1:44" ht="15.75" thickBot="1" x14ac:dyDescent="0.25">
      <c r="E61" s="116"/>
      <c r="F61" s="116"/>
      <c r="G61" s="116"/>
      <c r="H61" s="116"/>
      <c r="I61" s="116"/>
      <c r="J61" s="182"/>
      <c r="K61" s="145"/>
      <c r="L61" s="145"/>
      <c r="M61" s="145"/>
      <c r="N61" s="220"/>
      <c r="O61" s="123"/>
      <c r="P61" s="123"/>
      <c r="Q61" s="123"/>
      <c r="R61" s="123"/>
      <c r="S61" s="203" t="s">
        <v>165</v>
      </c>
      <c r="V61" s="123"/>
    </row>
    <row r="62" spans="1:44" ht="15.75" thickBot="1" x14ac:dyDescent="0.25">
      <c r="O62" s="115"/>
      <c r="P62" s="115"/>
      <c r="Q62" s="115"/>
      <c r="R62" s="115"/>
      <c r="S62" s="203" t="s">
        <v>166</v>
      </c>
    </row>
    <row r="63" spans="1:44" x14ac:dyDescent="0.2">
      <c r="A63">
        <v>813</v>
      </c>
      <c r="B63" s="221" t="s">
        <v>139</v>
      </c>
      <c r="C63" s="222"/>
      <c r="D63" s="222"/>
      <c r="E63" s="223"/>
      <c r="F63" s="223"/>
      <c r="G63" s="223"/>
      <c r="H63" s="224"/>
      <c r="I63" s="51"/>
      <c r="J63" s="175"/>
      <c r="K63" s="176"/>
      <c r="L63" s="176"/>
      <c r="M63" s="176"/>
      <c r="N63" s="213"/>
      <c r="O63" s="115"/>
      <c r="P63" s="115"/>
      <c r="Q63" s="115"/>
      <c r="R63" s="115"/>
      <c r="T63" s="115"/>
      <c r="U63" s="115"/>
      <c r="V63" s="115"/>
      <c r="AB63" s="35"/>
      <c r="AC63" s="3"/>
      <c r="AD63" s="3"/>
      <c r="AE63" s="3"/>
      <c r="AF63" s="3"/>
      <c r="AG63" s="3"/>
      <c r="AH63" s="3"/>
      <c r="AI63" s="3"/>
      <c r="AJ63" s="3"/>
      <c r="AK63" s="3"/>
      <c r="AL63" s="4"/>
    </row>
    <row r="64" spans="1:44" x14ac:dyDescent="0.2">
      <c r="B64" s="225"/>
      <c r="C64" s="226"/>
      <c r="D64" s="226" t="s">
        <v>2</v>
      </c>
      <c r="E64" s="227" t="s">
        <v>3</v>
      </c>
      <c r="F64" s="227" t="s">
        <v>4</v>
      </c>
      <c r="G64" s="227" t="s">
        <v>5</v>
      </c>
      <c r="H64" s="228" t="s">
        <v>6</v>
      </c>
      <c r="I64" s="9"/>
      <c r="J64" s="177" t="s">
        <v>47</v>
      </c>
      <c r="K64" s="120" t="s">
        <v>48</v>
      </c>
      <c r="L64" s="120" t="s">
        <v>12</v>
      </c>
      <c r="M64" s="120" t="s">
        <v>12</v>
      </c>
      <c r="N64" s="214" t="s">
        <v>12</v>
      </c>
      <c r="O64" s="120"/>
      <c r="P64" s="120"/>
      <c r="Q64" s="120"/>
      <c r="R64" s="120"/>
      <c r="T64" s="120"/>
      <c r="U64" s="120"/>
      <c r="V64" s="120"/>
      <c r="AB64" s="5"/>
      <c r="AC64" s="1"/>
      <c r="AD64" s="1"/>
      <c r="AE64" s="1"/>
      <c r="AF64" s="1"/>
      <c r="AG64" s="1"/>
      <c r="AH64" s="1"/>
      <c r="AI64" s="1"/>
      <c r="AJ64" s="1"/>
      <c r="AK64" s="1"/>
      <c r="AL64" s="6"/>
    </row>
    <row r="65" spans="2:44" ht="25.5" x14ac:dyDescent="0.2">
      <c r="B65" s="225" t="s">
        <v>0</v>
      </c>
      <c r="C65" s="226" t="s">
        <v>49</v>
      </c>
      <c r="D65" s="229" t="s">
        <v>140</v>
      </c>
      <c r="E65" s="229" t="s">
        <v>140</v>
      </c>
      <c r="F65" s="229" t="s">
        <v>140</v>
      </c>
      <c r="G65" s="229" t="s">
        <v>140</v>
      </c>
      <c r="H65" s="230" t="s">
        <v>140</v>
      </c>
      <c r="I65" s="9"/>
      <c r="J65" s="178" t="s">
        <v>46</v>
      </c>
      <c r="K65" s="119" t="s">
        <v>46</v>
      </c>
      <c r="L65" s="139" t="s">
        <v>97</v>
      </c>
      <c r="M65" s="139" t="s">
        <v>46</v>
      </c>
      <c r="N65" s="215" t="s">
        <v>46</v>
      </c>
      <c r="O65" s="119"/>
      <c r="P65" s="119"/>
      <c r="Q65" s="119"/>
      <c r="R65" s="119"/>
      <c r="S65" s="119"/>
      <c r="T65" s="119"/>
      <c r="U65" s="119"/>
      <c r="V65" s="119"/>
      <c r="AB65" s="5"/>
      <c r="AC65" s="1"/>
      <c r="AD65" s="1"/>
      <c r="AE65" s="1"/>
      <c r="AF65" s="1"/>
      <c r="AG65" s="1"/>
      <c r="AH65" s="1"/>
      <c r="AI65" s="1"/>
      <c r="AJ65" s="1"/>
      <c r="AK65" s="1"/>
      <c r="AL65" s="6"/>
    </row>
    <row r="66" spans="2:44" x14ac:dyDescent="0.2">
      <c r="B66" s="225" t="s">
        <v>1</v>
      </c>
      <c r="C66" s="226" t="s">
        <v>50</v>
      </c>
      <c r="D66" s="229" t="s">
        <v>140</v>
      </c>
      <c r="E66" s="229" t="s">
        <v>140</v>
      </c>
      <c r="F66" s="229" t="s">
        <v>140</v>
      </c>
      <c r="G66" s="229" t="s">
        <v>140</v>
      </c>
      <c r="H66" s="230" t="s">
        <v>140</v>
      </c>
      <c r="I66" s="9"/>
      <c r="J66" s="179"/>
      <c r="K66" s="115"/>
      <c r="L66" s="115" t="s">
        <v>90</v>
      </c>
      <c r="M66" s="115" t="s">
        <v>120</v>
      </c>
      <c r="N66" s="216" t="s">
        <v>95</v>
      </c>
      <c r="O66" s="120"/>
      <c r="P66" s="120"/>
      <c r="Q66" s="120"/>
      <c r="R66" s="115"/>
      <c r="S66" s="115"/>
      <c r="T66" s="115"/>
      <c r="U66" s="115"/>
      <c r="V66" s="115"/>
      <c r="AB66" s="5"/>
      <c r="AC66" s="1"/>
      <c r="AD66" s="1"/>
      <c r="AE66" s="1"/>
      <c r="AF66" s="1"/>
      <c r="AG66" s="1"/>
      <c r="AH66" s="1"/>
      <c r="AI66" s="1"/>
      <c r="AJ66" s="1"/>
      <c r="AK66" s="1"/>
      <c r="AL66" s="6"/>
    </row>
    <row r="67" spans="2:44" x14ac:dyDescent="0.2">
      <c r="B67" s="225"/>
      <c r="C67" s="226"/>
      <c r="D67" s="226"/>
      <c r="E67" s="227"/>
      <c r="F67" s="227"/>
      <c r="G67" s="244"/>
      <c r="H67" s="245"/>
      <c r="I67" s="9"/>
      <c r="J67" s="179"/>
      <c r="K67" s="115"/>
      <c r="L67" s="115"/>
      <c r="M67" s="115"/>
      <c r="N67" s="216"/>
      <c r="O67" s="120"/>
      <c r="P67" s="138"/>
      <c r="Q67" s="120"/>
      <c r="R67" s="138"/>
      <c r="S67" s="138"/>
      <c r="T67" s="138"/>
      <c r="U67" s="138"/>
      <c r="V67" s="115"/>
      <c r="AB67" s="5"/>
      <c r="AC67" s="1"/>
      <c r="AD67" s="1"/>
      <c r="AE67" s="1"/>
      <c r="AF67" s="1"/>
      <c r="AG67" s="1"/>
      <c r="AH67" s="1"/>
      <c r="AI67" s="1"/>
      <c r="AJ67" s="1"/>
      <c r="AK67" s="1"/>
      <c r="AL67" s="6"/>
    </row>
    <row r="68" spans="2:44" x14ac:dyDescent="0.2">
      <c r="B68" s="225" t="s">
        <v>9</v>
      </c>
      <c r="C68" s="226"/>
      <c r="D68" s="238">
        <v>1</v>
      </c>
      <c r="E68" s="238">
        <v>1</v>
      </c>
      <c r="F68" s="238">
        <v>1</v>
      </c>
      <c r="G68" s="238">
        <v>1</v>
      </c>
      <c r="H68" s="246">
        <v>1</v>
      </c>
      <c r="I68" s="9"/>
      <c r="J68" s="180">
        <f>(SUM(D68:I68)*J$11)</f>
        <v>200</v>
      </c>
      <c r="K68" s="122">
        <f>(5*10.5*K$11)</f>
        <v>630</v>
      </c>
      <c r="L68" s="329">
        <f>K68+J68</f>
        <v>830</v>
      </c>
      <c r="M68" s="329">
        <f>J68+8*10.5*5</f>
        <v>620</v>
      </c>
      <c r="N68" s="330">
        <f>J68</f>
        <v>200</v>
      </c>
      <c r="O68" s="125"/>
      <c r="P68" s="125">
        <f>L68/5</f>
        <v>166</v>
      </c>
      <c r="Q68" s="125">
        <f t="shared" ref="Q68:Q70" si="25">M68/5</f>
        <v>124</v>
      </c>
      <c r="R68" s="125">
        <f t="shared" ref="R68:R70" si="26">N68/5</f>
        <v>40</v>
      </c>
      <c r="S68" s="125"/>
      <c r="T68" s="125"/>
      <c r="U68" s="125"/>
      <c r="V68" s="125"/>
      <c r="W68" s="18">
        <f>+L68/5</f>
        <v>166</v>
      </c>
      <c r="Y68" s="11">
        <f>+W68*$Y$2</f>
        <v>1042.48</v>
      </c>
      <c r="Z68" s="11">
        <f>+ROUND(Y68/$Z$2,2)</f>
        <v>86.87</v>
      </c>
      <c r="AB68" s="36">
        <f>+Z68*$AB$2</f>
        <v>86.87</v>
      </c>
      <c r="AC68" s="37">
        <f>+Z68*$AC$2</f>
        <v>173.74</v>
      </c>
      <c r="AD68" s="37">
        <f>+Z68*$AD$2</f>
        <v>260.61</v>
      </c>
      <c r="AE68" s="37">
        <f>+Z68*$AE$2</f>
        <v>347.48</v>
      </c>
      <c r="AF68" s="37">
        <f>+Z68*$AF$2</f>
        <v>434.35</v>
      </c>
      <c r="AG68" s="1"/>
      <c r="AH68" s="38">
        <f>+W68/12</f>
        <v>13.833333333333334</v>
      </c>
      <c r="AI68" s="39">
        <f>+AH68*$AI$2</f>
        <v>27.666666666666668</v>
      </c>
      <c r="AJ68" s="39">
        <f>+AH68*$AJ$2</f>
        <v>41.5</v>
      </c>
      <c r="AK68" s="39">
        <f>+AH68*$AK$2</f>
        <v>55.333333333333336</v>
      </c>
      <c r="AL68" s="40">
        <f>+AH68*$AL$2</f>
        <v>69.166666666666671</v>
      </c>
      <c r="AN68">
        <f t="shared" ref="AN68:AR70" si="27">+AH68*$Z$2</f>
        <v>166</v>
      </c>
      <c r="AO68">
        <f t="shared" si="27"/>
        <v>332</v>
      </c>
      <c r="AP68">
        <f t="shared" si="27"/>
        <v>498</v>
      </c>
      <c r="AQ68">
        <f t="shared" si="27"/>
        <v>664</v>
      </c>
      <c r="AR68">
        <f t="shared" si="27"/>
        <v>830</v>
      </c>
    </row>
    <row r="69" spans="2:44" x14ac:dyDescent="0.2">
      <c r="B69" s="225" t="s">
        <v>10</v>
      </c>
      <c r="C69" s="226"/>
      <c r="D69" s="238">
        <f>D68+D70</f>
        <v>5</v>
      </c>
      <c r="E69" s="239">
        <f>E68+E70</f>
        <v>5</v>
      </c>
      <c r="F69" s="239">
        <f>F68+F70</f>
        <v>5</v>
      </c>
      <c r="G69" s="239">
        <f>G68+G70</f>
        <v>5</v>
      </c>
      <c r="H69" s="240">
        <f>H68+H70</f>
        <v>5</v>
      </c>
      <c r="I69" s="9"/>
      <c r="J69" s="180">
        <f>J68+J70</f>
        <v>1000</v>
      </c>
      <c r="K69" s="122">
        <f>K68</f>
        <v>630</v>
      </c>
      <c r="L69" s="125">
        <f>K69+J69</f>
        <v>1630</v>
      </c>
      <c r="M69" s="125">
        <f>J69+8*10.5*5</f>
        <v>1420</v>
      </c>
      <c r="N69" s="217">
        <f>J69</f>
        <v>1000</v>
      </c>
      <c r="O69" s="125"/>
      <c r="P69" s="125">
        <f>L69/5</f>
        <v>326</v>
      </c>
      <c r="Q69" s="125">
        <f t="shared" si="25"/>
        <v>284</v>
      </c>
      <c r="R69" s="125">
        <f t="shared" si="26"/>
        <v>200</v>
      </c>
      <c r="S69" s="125"/>
      <c r="T69" s="125"/>
      <c r="U69" s="125"/>
      <c r="V69" s="125"/>
      <c r="W69" s="18">
        <f>+L69/5</f>
        <v>326</v>
      </c>
      <c r="Y69" s="11">
        <f>+W69*$Y$2</f>
        <v>2047.28</v>
      </c>
      <c r="Z69" s="15">
        <f>+ROUND(Y69/$Z$2,2)</f>
        <v>170.61</v>
      </c>
      <c r="AA69" s="16">
        <f>ROUND(+Z69/$AA$2,2)</f>
        <v>85.31</v>
      </c>
      <c r="AB69" s="36">
        <f>+Z69*$AB$2</f>
        <v>170.61</v>
      </c>
      <c r="AC69" s="37">
        <f>+Z69*$AC$2</f>
        <v>341.22</v>
      </c>
      <c r="AD69" s="37">
        <f>+Z69*$AD$2</f>
        <v>511.83000000000004</v>
      </c>
      <c r="AE69" s="37">
        <f>+Z69*$AE$2</f>
        <v>682.44</v>
      </c>
      <c r="AF69" s="37">
        <f>+Z69*$AF$2</f>
        <v>853.05000000000007</v>
      </c>
      <c r="AG69" s="1"/>
      <c r="AH69" s="38">
        <f>+W69/12</f>
        <v>27.166666666666668</v>
      </c>
      <c r="AI69" s="39">
        <f t="shared" ref="AI69:AI70" si="28">+AH69*$AI$2</f>
        <v>54.333333333333336</v>
      </c>
      <c r="AJ69" s="39">
        <f t="shared" ref="AJ69:AJ70" si="29">+AH69*$AJ$2</f>
        <v>81.5</v>
      </c>
      <c r="AK69" s="39">
        <f t="shared" ref="AK69:AK70" si="30">+AH69*$AK$2</f>
        <v>108.66666666666667</v>
      </c>
      <c r="AL69" s="40">
        <f t="shared" ref="AL69:AL70" si="31">+AH69*$AL$2</f>
        <v>135.83333333333334</v>
      </c>
      <c r="AN69">
        <f t="shared" si="27"/>
        <v>326</v>
      </c>
      <c r="AO69">
        <f t="shared" si="27"/>
        <v>652</v>
      </c>
      <c r="AP69">
        <f t="shared" si="27"/>
        <v>978</v>
      </c>
      <c r="AQ69">
        <f t="shared" si="27"/>
        <v>1304</v>
      </c>
      <c r="AR69">
        <f t="shared" si="27"/>
        <v>1630</v>
      </c>
    </row>
    <row r="70" spans="2:44" x14ac:dyDescent="0.2">
      <c r="B70" s="225" t="s">
        <v>11</v>
      </c>
      <c r="C70" s="226"/>
      <c r="D70" s="229">
        <v>4</v>
      </c>
      <c r="E70" s="229">
        <v>4</v>
      </c>
      <c r="F70" s="229">
        <v>4</v>
      </c>
      <c r="G70" s="229">
        <v>4</v>
      </c>
      <c r="H70" s="230">
        <v>4</v>
      </c>
      <c r="I70" s="9"/>
      <c r="J70" s="180">
        <f>(SUM(D70:I70)*J$11)</f>
        <v>800</v>
      </c>
      <c r="K70" s="122">
        <f>(5*10.5*K$11)</f>
        <v>630</v>
      </c>
      <c r="L70" s="329">
        <f>K70+J70</f>
        <v>1430</v>
      </c>
      <c r="M70" s="329">
        <f>J70+8*10.5*5</f>
        <v>1220</v>
      </c>
      <c r="N70" s="330">
        <f>J70</f>
        <v>800</v>
      </c>
      <c r="O70" s="125"/>
      <c r="P70" s="125">
        <f>L70/5</f>
        <v>286</v>
      </c>
      <c r="Q70" s="125">
        <f t="shared" si="25"/>
        <v>244</v>
      </c>
      <c r="R70" s="125">
        <f t="shared" si="26"/>
        <v>160</v>
      </c>
      <c r="S70" s="125"/>
      <c r="T70" s="125"/>
      <c r="U70" s="125"/>
      <c r="V70" s="125"/>
      <c r="W70" s="18">
        <f>+L70/5</f>
        <v>286</v>
      </c>
      <c r="Y70" s="11">
        <f>+W70*$Y$2</f>
        <v>1796.0800000000002</v>
      </c>
      <c r="Z70" s="11">
        <f>+ROUND(Y70/$Z$2,2)</f>
        <v>149.66999999999999</v>
      </c>
      <c r="AB70" s="36">
        <f>+Z70*$AB$2</f>
        <v>149.66999999999999</v>
      </c>
      <c r="AC70" s="37">
        <f>+Z70*$AC$2</f>
        <v>299.33999999999997</v>
      </c>
      <c r="AD70" s="37">
        <f>+Z70*$AD$2</f>
        <v>449.01</v>
      </c>
      <c r="AE70" s="37">
        <f>+Z70*$AE$2</f>
        <v>598.67999999999995</v>
      </c>
      <c r="AF70" s="37">
        <f>+Z70*$AF$2</f>
        <v>748.34999999999991</v>
      </c>
      <c r="AG70" s="1"/>
      <c r="AH70" s="38">
        <f>+W70/12</f>
        <v>23.833333333333332</v>
      </c>
      <c r="AI70" s="39">
        <f t="shared" si="28"/>
        <v>47.666666666666664</v>
      </c>
      <c r="AJ70" s="39">
        <f t="shared" si="29"/>
        <v>71.5</v>
      </c>
      <c r="AK70" s="39">
        <f t="shared" si="30"/>
        <v>95.333333333333329</v>
      </c>
      <c r="AL70" s="40">
        <f t="shared" si="31"/>
        <v>119.16666666666666</v>
      </c>
      <c r="AN70">
        <f t="shared" si="27"/>
        <v>286</v>
      </c>
      <c r="AO70">
        <f t="shared" si="27"/>
        <v>572</v>
      </c>
      <c r="AP70">
        <f t="shared" si="27"/>
        <v>858</v>
      </c>
      <c r="AQ70">
        <f t="shared" si="27"/>
        <v>1144</v>
      </c>
      <c r="AR70">
        <f t="shared" si="27"/>
        <v>1430</v>
      </c>
    </row>
    <row r="71" spans="2:44" x14ac:dyDescent="0.2">
      <c r="B71" s="233"/>
      <c r="C71" s="234"/>
      <c r="D71" s="234"/>
      <c r="E71" s="235"/>
      <c r="F71" s="235"/>
      <c r="G71" s="235"/>
      <c r="H71" s="236"/>
      <c r="I71" s="52"/>
      <c r="J71" s="181"/>
      <c r="K71" s="126" t="s">
        <v>13</v>
      </c>
      <c r="L71" s="107">
        <f t="shared" ref="L71" si="32">10%*L68+20%*L69+70%*L70</f>
        <v>1410</v>
      </c>
      <c r="M71" s="107">
        <f>10%*M68+20%*M69+70%*M70</f>
        <v>1200</v>
      </c>
      <c r="N71" s="218">
        <f>10%*N68+20%*N69+70%*N70</f>
        <v>780</v>
      </c>
      <c r="O71" s="122"/>
      <c r="P71" s="122"/>
      <c r="Q71" s="122"/>
      <c r="R71" s="122"/>
      <c r="S71" s="122"/>
      <c r="T71" s="122"/>
      <c r="U71" s="122"/>
      <c r="V71" s="123">
        <f>(R71-L71)/L71</f>
        <v>-1</v>
      </c>
      <c r="AB71" s="7"/>
      <c r="AC71" s="8"/>
      <c r="AD71" s="8"/>
      <c r="AE71" s="8"/>
      <c r="AF71" s="8"/>
      <c r="AG71" s="8"/>
      <c r="AH71" s="8"/>
      <c r="AI71" s="8"/>
      <c r="AJ71" s="8"/>
      <c r="AK71" s="8"/>
      <c r="AL71" s="41"/>
    </row>
    <row r="72" spans="2:44" x14ac:dyDescent="0.2">
      <c r="B72" s="1"/>
      <c r="C72" s="1"/>
      <c r="D72" s="1"/>
      <c r="E72" s="9"/>
      <c r="F72" s="9"/>
      <c r="G72" s="9"/>
      <c r="H72" s="9"/>
      <c r="I72" s="9"/>
      <c r="J72" s="183"/>
      <c r="K72" s="184" t="s">
        <v>103</v>
      </c>
      <c r="L72" s="109">
        <f>(L71-L$8)/L$8</f>
        <v>3.0701754385964911E-2</v>
      </c>
      <c r="M72" s="109">
        <f>(M71-L$8)/L$8</f>
        <v>-0.12280701754385964</v>
      </c>
      <c r="N72" s="219">
        <f>(N71-L$8)/L$8</f>
        <v>-0.42982456140350878</v>
      </c>
      <c r="O72" s="123"/>
      <c r="P72" s="123"/>
      <c r="Q72" s="123"/>
      <c r="R72" s="123"/>
      <c r="S72" s="123"/>
      <c r="T72" s="123"/>
      <c r="U72" s="123"/>
      <c r="V72" s="123"/>
    </row>
    <row r="73" spans="2:44" ht="13.5" thickBot="1" x14ac:dyDescent="0.25">
      <c r="B73" s="1"/>
      <c r="C73" s="1"/>
      <c r="D73" s="1"/>
      <c r="E73" s="115"/>
      <c r="F73" s="115"/>
      <c r="G73" s="115"/>
      <c r="H73" s="115"/>
      <c r="I73" s="115"/>
      <c r="J73" s="182"/>
      <c r="K73" s="145" t="s">
        <v>104</v>
      </c>
      <c r="L73" s="145">
        <f>L72</f>
        <v>3.0701754385964911E-2</v>
      </c>
      <c r="M73" s="145">
        <f>((M71*(1+Q$10))-$L$8)/$L$8</f>
        <v>-7.8947368421052627E-2</v>
      </c>
      <c r="N73" s="220">
        <f>((N71*(1+R$10))-$L$8)/$L$8</f>
        <v>-0.36140350877192973</v>
      </c>
      <c r="O73" s="123"/>
      <c r="P73" s="123"/>
      <c r="Q73" s="123"/>
      <c r="R73" s="123"/>
      <c r="S73" s="123"/>
      <c r="T73" s="123"/>
      <c r="U73" s="123"/>
      <c r="V73" s="123"/>
    </row>
    <row r="74" spans="2:44" ht="13.5" thickBot="1" x14ac:dyDescent="0.25">
      <c r="B74" s="1"/>
      <c r="C74" s="1"/>
      <c r="D74" s="1"/>
      <c r="E74" s="115"/>
      <c r="F74" s="115"/>
      <c r="G74" s="115"/>
      <c r="H74" s="115"/>
      <c r="I74" s="115"/>
      <c r="J74" s="117"/>
      <c r="K74" s="123"/>
      <c r="L74" s="123"/>
      <c r="M74" s="123"/>
      <c r="N74" s="123"/>
      <c r="O74" s="123"/>
      <c r="P74" s="123"/>
      <c r="Q74" s="123"/>
      <c r="R74" s="123"/>
      <c r="S74" s="123"/>
      <c r="T74" s="123"/>
      <c r="U74" s="123"/>
      <c r="V74" s="123"/>
    </row>
    <row r="75" spans="2:44" x14ac:dyDescent="0.2">
      <c r="B75" s="221" t="s">
        <v>192</v>
      </c>
      <c r="C75" s="222"/>
      <c r="D75" s="222"/>
      <c r="E75" s="223"/>
      <c r="F75" s="223"/>
      <c r="G75" s="223"/>
      <c r="H75" s="224"/>
      <c r="I75" s="118"/>
      <c r="J75" s="175"/>
      <c r="K75" s="176"/>
      <c r="L75" s="176"/>
      <c r="M75" s="176"/>
      <c r="N75" s="213"/>
      <c r="O75" s="115"/>
      <c r="P75" s="115"/>
      <c r="Q75" s="115"/>
      <c r="R75" s="115"/>
      <c r="S75" s="115"/>
      <c r="T75" s="115"/>
      <c r="U75" s="115"/>
      <c r="V75" s="123"/>
    </row>
    <row r="76" spans="2:44" x14ac:dyDescent="0.2">
      <c r="B76" s="225"/>
      <c r="C76" s="226"/>
      <c r="D76" s="226" t="s">
        <v>2</v>
      </c>
      <c r="E76" s="227" t="s">
        <v>3</v>
      </c>
      <c r="F76" s="227" t="s">
        <v>4</v>
      </c>
      <c r="G76" s="227" t="s">
        <v>5</v>
      </c>
      <c r="H76" s="228" t="s">
        <v>6</v>
      </c>
      <c r="I76" s="115"/>
      <c r="J76" s="177" t="s">
        <v>47</v>
      </c>
      <c r="K76" s="120" t="s">
        <v>48</v>
      </c>
      <c r="L76" s="120" t="s">
        <v>12</v>
      </c>
      <c r="M76" s="120" t="s">
        <v>12</v>
      </c>
      <c r="N76" s="214" t="s">
        <v>12</v>
      </c>
      <c r="O76" s="120"/>
      <c r="P76" s="120"/>
      <c r="Q76" s="120"/>
      <c r="R76" s="120"/>
      <c r="S76" s="120"/>
      <c r="T76" s="120"/>
      <c r="U76" s="120"/>
      <c r="V76" s="123"/>
    </row>
    <row r="77" spans="2:44" ht="25.5" x14ac:dyDescent="0.2">
      <c r="B77" s="225" t="s">
        <v>0</v>
      </c>
      <c r="C77" s="226" t="s">
        <v>49</v>
      </c>
      <c r="D77" s="229" t="s">
        <v>140</v>
      </c>
      <c r="E77" s="229" t="s">
        <v>140</v>
      </c>
      <c r="F77" s="229" t="s">
        <v>140</v>
      </c>
      <c r="G77" s="229" t="s">
        <v>140</v>
      </c>
      <c r="H77" s="230" t="s">
        <v>140</v>
      </c>
      <c r="I77" s="115"/>
      <c r="J77" s="178" t="s">
        <v>46</v>
      </c>
      <c r="K77" s="119" t="s">
        <v>46</v>
      </c>
      <c r="L77" s="139" t="s">
        <v>97</v>
      </c>
      <c r="M77" s="139" t="s">
        <v>46</v>
      </c>
      <c r="N77" s="215" t="s">
        <v>46</v>
      </c>
      <c r="O77" s="119"/>
      <c r="P77" s="119"/>
      <c r="Q77" s="119"/>
      <c r="R77" s="119"/>
      <c r="S77" s="119"/>
      <c r="T77" s="119"/>
      <c r="U77" s="119"/>
      <c r="V77" s="123"/>
    </row>
    <row r="78" spans="2:44" x14ac:dyDescent="0.2">
      <c r="B78" s="225" t="s">
        <v>1</v>
      </c>
      <c r="C78" s="226" t="s">
        <v>50</v>
      </c>
      <c r="D78" s="229" t="s">
        <v>140</v>
      </c>
      <c r="E78" s="229" t="s">
        <v>140</v>
      </c>
      <c r="F78" s="229" t="s">
        <v>140</v>
      </c>
      <c r="G78" s="229" t="s">
        <v>140</v>
      </c>
      <c r="H78" s="230" t="s">
        <v>140</v>
      </c>
      <c r="I78" s="115"/>
      <c r="J78" s="179"/>
      <c r="K78" s="115"/>
      <c r="L78" s="115" t="s">
        <v>90</v>
      </c>
      <c r="M78" s="115" t="s">
        <v>120</v>
      </c>
      <c r="N78" s="216" t="s">
        <v>95</v>
      </c>
      <c r="O78" s="120"/>
      <c r="P78" s="120"/>
      <c r="Q78" s="120"/>
      <c r="R78" s="115"/>
      <c r="S78" s="115"/>
      <c r="T78" s="115"/>
      <c r="U78" s="115"/>
      <c r="V78" s="123"/>
    </row>
    <row r="79" spans="2:44" x14ac:dyDescent="0.2">
      <c r="B79" s="225"/>
      <c r="C79" s="226"/>
      <c r="D79" s="226"/>
      <c r="E79" s="227"/>
      <c r="F79" s="227"/>
      <c r="G79" s="244"/>
      <c r="H79" s="245"/>
      <c r="I79" s="115"/>
      <c r="J79" s="179"/>
      <c r="K79" s="115"/>
      <c r="L79" s="115"/>
      <c r="M79" s="115"/>
      <c r="N79" s="216"/>
      <c r="O79" s="120"/>
      <c r="P79" s="138"/>
      <c r="Q79" s="120"/>
      <c r="R79" s="138"/>
      <c r="S79" s="138"/>
      <c r="T79" s="138"/>
      <c r="U79" s="138"/>
      <c r="V79" s="123"/>
    </row>
    <row r="80" spans="2:44" x14ac:dyDescent="0.2">
      <c r="B80" s="225" t="s">
        <v>9</v>
      </c>
      <c r="C80" s="226"/>
      <c r="D80" s="238">
        <v>1</v>
      </c>
      <c r="E80" s="238">
        <v>1</v>
      </c>
      <c r="F80" s="238">
        <v>1</v>
      </c>
      <c r="G80" s="238">
        <v>1</v>
      </c>
      <c r="H80" s="246">
        <v>1</v>
      </c>
      <c r="I80" s="115"/>
      <c r="J80" s="180">
        <f>(SUM(D80:I80)*J$11)</f>
        <v>200</v>
      </c>
      <c r="K80" s="122">
        <f>(5*11*K$11)</f>
        <v>660</v>
      </c>
      <c r="L80" s="329">
        <f>K80+J80</f>
        <v>860</v>
      </c>
      <c r="M80" s="329">
        <f>J80+8*11*5</f>
        <v>640</v>
      </c>
      <c r="N80" s="330">
        <f>J80</f>
        <v>200</v>
      </c>
      <c r="O80" s="125"/>
      <c r="P80" s="125">
        <f>L80/5</f>
        <v>172</v>
      </c>
      <c r="Q80" s="125">
        <f t="shared" ref="Q80:Q82" si="33">M80/5</f>
        <v>128</v>
      </c>
      <c r="R80" s="125">
        <f t="shared" ref="R80:R82" si="34">N80/5</f>
        <v>40</v>
      </c>
      <c r="S80" s="125"/>
      <c r="T80" s="125"/>
      <c r="U80" s="125"/>
      <c r="V80" s="123"/>
    </row>
    <row r="81" spans="1:44" x14ac:dyDescent="0.2">
      <c r="B81" s="225" t="s">
        <v>10</v>
      </c>
      <c r="C81" s="226"/>
      <c r="D81" s="238">
        <f>D80+D82</f>
        <v>5.5</v>
      </c>
      <c r="E81" s="239">
        <f>E80+E82</f>
        <v>5.5</v>
      </c>
      <c r="F81" s="239">
        <f>F80+F82</f>
        <v>5.5</v>
      </c>
      <c r="G81" s="239">
        <f>G80+G82</f>
        <v>5.5</v>
      </c>
      <c r="H81" s="240">
        <f>H80+H82</f>
        <v>5.5</v>
      </c>
      <c r="I81" s="115"/>
      <c r="J81" s="180">
        <f>J80+J82</f>
        <v>1100</v>
      </c>
      <c r="K81" s="122">
        <f>K80</f>
        <v>660</v>
      </c>
      <c r="L81" s="125">
        <f>K81+J81</f>
        <v>1760</v>
      </c>
      <c r="M81" s="125">
        <f>J81+8*11*5</f>
        <v>1540</v>
      </c>
      <c r="N81" s="217">
        <f>J81</f>
        <v>1100</v>
      </c>
      <c r="O81" s="125"/>
      <c r="P81" s="125">
        <f>L81/5</f>
        <v>352</v>
      </c>
      <c r="Q81" s="125">
        <f t="shared" si="33"/>
        <v>308</v>
      </c>
      <c r="R81" s="125">
        <f t="shared" si="34"/>
        <v>220</v>
      </c>
      <c r="S81" s="125"/>
      <c r="T81" s="125"/>
      <c r="U81" s="125"/>
      <c r="V81" s="123"/>
    </row>
    <row r="82" spans="1:44" x14ac:dyDescent="0.2">
      <c r="B82" s="225" t="s">
        <v>11</v>
      </c>
      <c r="C82" s="226"/>
      <c r="D82" s="229">
        <v>4.5</v>
      </c>
      <c r="E82" s="229">
        <v>4.5</v>
      </c>
      <c r="F82" s="229">
        <v>4.5</v>
      </c>
      <c r="G82" s="229">
        <v>4.5</v>
      </c>
      <c r="H82" s="230">
        <v>4.5</v>
      </c>
      <c r="I82" s="115"/>
      <c r="J82" s="180">
        <f>(SUM(D82:I82)*J$11)</f>
        <v>900</v>
      </c>
      <c r="K82" s="122">
        <f>(5*11*K$11)</f>
        <v>660</v>
      </c>
      <c r="L82" s="329">
        <f>K82+J82</f>
        <v>1560</v>
      </c>
      <c r="M82" s="329">
        <f>J82+8*11*5</f>
        <v>1340</v>
      </c>
      <c r="N82" s="330">
        <f>J82</f>
        <v>900</v>
      </c>
      <c r="O82" s="125"/>
      <c r="P82" s="125">
        <f>L82/5</f>
        <v>312</v>
      </c>
      <c r="Q82" s="125">
        <f t="shared" si="33"/>
        <v>268</v>
      </c>
      <c r="R82" s="125">
        <f t="shared" si="34"/>
        <v>180</v>
      </c>
      <c r="S82" s="125"/>
      <c r="T82" s="125"/>
      <c r="U82" s="125"/>
      <c r="V82" s="123"/>
    </row>
    <row r="83" spans="1:44" x14ac:dyDescent="0.2">
      <c r="B83" s="233"/>
      <c r="C83" s="234"/>
      <c r="D83" s="234"/>
      <c r="E83" s="235"/>
      <c r="F83" s="235"/>
      <c r="G83" s="235"/>
      <c r="H83" s="236"/>
      <c r="I83" s="52"/>
      <c r="J83" s="181"/>
      <c r="K83" s="126" t="s">
        <v>13</v>
      </c>
      <c r="L83" s="107">
        <f t="shared" ref="L83" si="35">10%*L80+20%*L81+70%*L82</f>
        <v>1530</v>
      </c>
      <c r="M83" s="107">
        <f>10%*M80+20%*M81+70%*M82</f>
        <v>1310</v>
      </c>
      <c r="N83" s="218">
        <f>10%*N80+20%*N81+70%*N82</f>
        <v>870</v>
      </c>
      <c r="O83" s="122"/>
      <c r="P83" s="122"/>
      <c r="Q83" s="122"/>
      <c r="R83" s="122"/>
      <c r="S83" s="122"/>
      <c r="T83" s="122"/>
      <c r="U83" s="122"/>
      <c r="V83" s="123"/>
    </row>
    <row r="84" spans="1:44" x14ac:dyDescent="0.2">
      <c r="B84" s="1"/>
      <c r="C84" s="1"/>
      <c r="D84" s="1"/>
      <c r="E84" s="115"/>
      <c r="F84" s="115"/>
      <c r="G84" s="115"/>
      <c r="H84" s="115"/>
      <c r="I84" s="115"/>
      <c r="J84" s="183"/>
      <c r="K84" s="184" t="s">
        <v>103</v>
      </c>
      <c r="L84" s="109">
        <f>(L83-L$8)/L$8</f>
        <v>0.11842105263157894</v>
      </c>
      <c r="M84" s="109">
        <f>(M83-L$8)/L$8</f>
        <v>-4.2397660818713448E-2</v>
      </c>
      <c r="N84" s="219">
        <f>(N83-L$8)/L$8</f>
        <v>-0.36403508771929827</v>
      </c>
      <c r="O84" s="123"/>
      <c r="P84" s="123"/>
      <c r="Q84" s="123"/>
      <c r="R84" s="123"/>
      <c r="S84" s="123"/>
      <c r="T84" s="123"/>
      <c r="U84" s="123"/>
      <c r="V84" s="123"/>
    </row>
    <row r="85" spans="1:44" ht="13.5" thickBot="1" x14ac:dyDescent="0.25">
      <c r="B85" s="1"/>
      <c r="C85" s="1"/>
      <c r="D85" s="1"/>
      <c r="E85" s="115"/>
      <c r="F85" s="115"/>
      <c r="G85" s="115"/>
      <c r="H85" s="115"/>
      <c r="I85" s="115"/>
      <c r="J85" s="182"/>
      <c r="K85" s="145" t="s">
        <v>104</v>
      </c>
      <c r="L85" s="145">
        <f>L84</f>
        <v>0.11842105263157894</v>
      </c>
      <c r="M85" s="145">
        <f>((M83*(1+Q$10))-$L$8)/$L$8</f>
        <v>5.4824561403508769E-3</v>
      </c>
      <c r="N85" s="220">
        <f>((N83*(1+R$10))-$L$8)/$L$8</f>
        <v>-0.28771929824561399</v>
      </c>
      <c r="O85" s="123"/>
      <c r="P85" s="123"/>
      <c r="Q85" s="123"/>
      <c r="R85" s="123"/>
      <c r="S85" s="123"/>
      <c r="T85" s="123"/>
      <c r="U85" s="123"/>
      <c r="V85" s="123"/>
    </row>
    <row r="86" spans="1:44" x14ac:dyDescent="0.2">
      <c r="B86" s="1"/>
      <c r="C86" s="1"/>
      <c r="D86" s="1"/>
      <c r="E86" s="115"/>
      <c r="F86" s="115"/>
      <c r="G86" s="115"/>
      <c r="H86" s="115"/>
      <c r="I86" s="115"/>
      <c r="J86" s="117"/>
      <c r="K86" s="123"/>
      <c r="L86" s="123"/>
      <c r="M86" s="123"/>
      <c r="N86" s="123"/>
      <c r="O86" s="123"/>
      <c r="P86" s="123"/>
      <c r="Q86" s="123"/>
      <c r="R86" s="123"/>
      <c r="S86" s="123"/>
      <c r="T86" s="123"/>
      <c r="U86" s="123"/>
      <c r="V86" s="123"/>
    </row>
    <row r="87" spans="1:44" ht="13.5" thickBot="1" x14ac:dyDescent="0.25">
      <c r="O87" s="115"/>
      <c r="P87" s="115"/>
      <c r="Q87" s="115"/>
      <c r="R87" s="115"/>
      <c r="AB87" s="35"/>
      <c r="AC87" s="3"/>
      <c r="AD87" s="3"/>
      <c r="AE87" s="3"/>
      <c r="AF87" s="3"/>
      <c r="AG87" s="3"/>
      <c r="AH87" s="3"/>
      <c r="AI87" s="3"/>
      <c r="AJ87" s="3"/>
      <c r="AK87" s="3"/>
      <c r="AL87" s="4"/>
    </row>
    <row r="88" spans="1:44" x14ac:dyDescent="0.2">
      <c r="A88">
        <v>814</v>
      </c>
      <c r="B88" s="331"/>
      <c r="C88" s="332"/>
      <c r="D88" s="332"/>
      <c r="E88" s="223"/>
      <c r="F88" s="223"/>
      <c r="G88" s="223"/>
      <c r="H88" s="224"/>
      <c r="I88" s="51"/>
      <c r="J88" s="175"/>
      <c r="K88" s="176"/>
      <c r="L88" s="176"/>
      <c r="M88" s="176"/>
      <c r="N88" s="213"/>
      <c r="O88" s="115"/>
      <c r="P88" s="115"/>
      <c r="Q88" s="115"/>
      <c r="R88" s="115"/>
      <c r="S88" s="115" t="s">
        <v>167</v>
      </c>
      <c r="T88" s="115"/>
      <c r="U88" s="115"/>
      <c r="V88" s="115"/>
      <c r="AB88" s="5"/>
      <c r="AC88" s="1"/>
      <c r="AD88" s="1"/>
      <c r="AE88" s="1"/>
      <c r="AF88" s="1"/>
      <c r="AG88" s="1"/>
      <c r="AH88" s="1"/>
      <c r="AI88" s="1"/>
      <c r="AJ88" s="1"/>
      <c r="AK88" s="1"/>
      <c r="AL88" s="6"/>
    </row>
    <row r="89" spans="1:44" x14ac:dyDescent="0.2">
      <c r="B89" s="225"/>
      <c r="C89" s="226"/>
      <c r="D89" s="226"/>
      <c r="E89" s="227"/>
      <c r="F89" s="227"/>
      <c r="G89" s="227"/>
      <c r="H89" s="228"/>
      <c r="I89" s="9"/>
      <c r="J89" s="177"/>
      <c r="K89" s="120"/>
      <c r="L89" s="120"/>
      <c r="M89" s="120"/>
      <c r="N89" s="214"/>
      <c r="O89" s="120"/>
      <c r="P89" s="120"/>
      <c r="Q89" s="120"/>
      <c r="R89" s="120"/>
      <c r="S89" s="120" t="s">
        <v>168</v>
      </c>
      <c r="T89" s="120"/>
      <c r="U89" s="120"/>
      <c r="V89" s="120"/>
      <c r="AB89" s="5"/>
      <c r="AC89" s="1"/>
      <c r="AD89" s="1"/>
      <c r="AE89" s="1"/>
      <c r="AF89" s="1"/>
      <c r="AG89" s="1"/>
      <c r="AH89" s="1"/>
      <c r="AI89" s="1"/>
      <c r="AJ89" s="1"/>
      <c r="AK89" s="1"/>
      <c r="AL89" s="6"/>
    </row>
    <row r="90" spans="1:44" x14ac:dyDescent="0.2">
      <c r="B90" s="225"/>
      <c r="C90" s="226"/>
      <c r="D90" s="229"/>
      <c r="E90" s="229"/>
      <c r="F90" s="231"/>
      <c r="G90" s="229"/>
      <c r="H90" s="237"/>
      <c r="I90" s="9"/>
      <c r="J90" s="178"/>
      <c r="K90" s="119"/>
      <c r="L90" s="139"/>
      <c r="M90" s="139"/>
      <c r="N90" s="215"/>
      <c r="O90" s="119"/>
      <c r="P90" s="119"/>
      <c r="Q90" s="119"/>
      <c r="R90" s="119"/>
      <c r="S90" s="119" t="s">
        <v>169</v>
      </c>
      <c r="T90" s="119"/>
      <c r="U90" s="119"/>
      <c r="V90" s="119"/>
      <c r="AB90" s="5"/>
      <c r="AC90" s="1"/>
      <c r="AD90" s="1"/>
      <c r="AE90" s="1"/>
      <c r="AF90" s="1"/>
      <c r="AG90" s="1"/>
      <c r="AH90" s="1"/>
      <c r="AI90" s="1"/>
      <c r="AJ90" s="1"/>
      <c r="AK90" s="1"/>
      <c r="AL90" s="6"/>
    </row>
    <row r="91" spans="1:44" x14ac:dyDescent="0.2">
      <c r="B91" s="225"/>
      <c r="C91" s="226"/>
      <c r="D91" s="229"/>
      <c r="E91" s="229"/>
      <c r="F91" s="231"/>
      <c r="G91" s="229"/>
      <c r="H91" s="237"/>
      <c r="I91" s="9"/>
      <c r="J91" s="179"/>
      <c r="K91" s="115"/>
      <c r="L91" s="115"/>
      <c r="M91" s="115"/>
      <c r="N91" s="216"/>
      <c r="O91" s="120"/>
      <c r="P91" s="120"/>
      <c r="Q91" s="120"/>
      <c r="R91" s="115"/>
      <c r="S91" s="115" t="s">
        <v>170</v>
      </c>
      <c r="T91" s="115"/>
      <c r="U91" s="115"/>
      <c r="V91" s="115"/>
      <c r="AB91" s="5"/>
      <c r="AC91" s="1"/>
      <c r="AD91" s="1"/>
      <c r="AE91" s="1"/>
      <c r="AF91" s="1"/>
      <c r="AG91" s="1"/>
      <c r="AH91" s="1"/>
      <c r="AI91" s="1"/>
      <c r="AJ91" s="1"/>
      <c r="AK91" s="1"/>
      <c r="AL91" s="6"/>
    </row>
    <row r="92" spans="1:44" x14ac:dyDescent="0.2">
      <c r="B92" s="225"/>
      <c r="C92" s="226"/>
      <c r="D92" s="226"/>
      <c r="E92" s="227"/>
      <c r="F92" s="227"/>
      <c r="G92" s="227"/>
      <c r="H92" s="228"/>
      <c r="I92" s="9"/>
      <c r="J92" s="179"/>
      <c r="K92" s="115"/>
      <c r="L92" s="115"/>
      <c r="M92" s="115"/>
      <c r="N92" s="216"/>
      <c r="O92" s="120"/>
      <c r="P92" s="138"/>
      <c r="Q92" s="120"/>
      <c r="R92" s="138"/>
      <c r="S92" s="138" t="s">
        <v>171</v>
      </c>
      <c r="T92" s="138"/>
      <c r="U92" s="138"/>
      <c r="V92" s="115"/>
      <c r="AB92" s="5"/>
      <c r="AC92" s="1"/>
      <c r="AD92" s="1"/>
      <c r="AE92" s="1"/>
      <c r="AF92" s="1"/>
      <c r="AG92" s="1"/>
      <c r="AH92" s="1"/>
      <c r="AI92" s="1"/>
      <c r="AJ92" s="1"/>
      <c r="AK92" s="1"/>
      <c r="AL92" s="6"/>
    </row>
    <row r="93" spans="1:44" x14ac:dyDescent="0.2">
      <c r="B93" s="225"/>
      <c r="C93" s="226"/>
      <c r="D93" s="238"/>
      <c r="E93" s="239"/>
      <c r="F93" s="239"/>
      <c r="G93" s="239"/>
      <c r="H93" s="240"/>
      <c r="I93" s="9"/>
      <c r="J93" s="180"/>
      <c r="K93" s="122"/>
      <c r="L93" s="125"/>
      <c r="M93" s="125"/>
      <c r="N93" s="217"/>
      <c r="O93" s="125"/>
      <c r="P93" s="125">
        <f>L93/5</f>
        <v>0</v>
      </c>
      <c r="Q93" s="125">
        <f t="shared" ref="Q93:Q95" si="36">M93/5</f>
        <v>0</v>
      </c>
      <c r="R93" s="125">
        <f t="shared" ref="R93:R95" si="37">N93/5</f>
        <v>0</v>
      </c>
      <c r="S93" s="210" t="s">
        <v>172</v>
      </c>
      <c r="T93" s="125"/>
      <c r="U93" s="125"/>
      <c r="V93" s="125"/>
      <c r="W93" s="18">
        <f>+L93/5</f>
        <v>0</v>
      </c>
      <c r="Y93" s="11">
        <f>+W93*$Y$2</f>
        <v>0</v>
      </c>
      <c r="Z93" s="11">
        <f>+ROUND(Y93/$Z$2,2)</f>
        <v>0</v>
      </c>
      <c r="AB93" s="36">
        <f>+Z93*$AB$2</f>
        <v>0</v>
      </c>
      <c r="AC93" s="37">
        <f>+Z93*$AC$2</f>
        <v>0</v>
      </c>
      <c r="AD93" s="37">
        <f>+Z93*$AD$2</f>
        <v>0</v>
      </c>
      <c r="AE93" s="37">
        <f>+Z93*$AE$2</f>
        <v>0</v>
      </c>
      <c r="AF93" s="37">
        <f>+Z93*$AF$2</f>
        <v>0</v>
      </c>
      <c r="AG93" s="1"/>
      <c r="AH93" s="38">
        <f>+W93/12</f>
        <v>0</v>
      </c>
      <c r="AI93" s="39">
        <f>+AH93*$AI$2</f>
        <v>0</v>
      </c>
      <c r="AJ93" s="39">
        <f>+AH93*$AJ$2</f>
        <v>0</v>
      </c>
      <c r="AK93" s="39">
        <f>+AH93*$AK$2</f>
        <v>0</v>
      </c>
      <c r="AL93" s="40">
        <f>+AH93*$AL$2</f>
        <v>0</v>
      </c>
      <c r="AN93">
        <f t="shared" ref="AN93:AR95" si="38">+AH93*$Z$2</f>
        <v>0</v>
      </c>
      <c r="AO93">
        <f t="shared" si="38"/>
        <v>0</v>
      </c>
      <c r="AP93">
        <f t="shared" si="38"/>
        <v>0</v>
      </c>
      <c r="AQ93">
        <f t="shared" si="38"/>
        <v>0</v>
      </c>
      <c r="AR93">
        <f t="shared" si="38"/>
        <v>0</v>
      </c>
    </row>
    <row r="94" spans="1:44" x14ac:dyDescent="0.2">
      <c r="B94" s="225"/>
      <c r="C94" s="226"/>
      <c r="D94" s="241"/>
      <c r="E94" s="242"/>
      <c r="F94" s="242"/>
      <c r="G94" s="242"/>
      <c r="H94" s="243"/>
      <c r="I94" s="9"/>
      <c r="J94" s="180"/>
      <c r="K94" s="122"/>
      <c r="L94" s="125"/>
      <c r="M94" s="125"/>
      <c r="N94" s="217"/>
      <c r="O94" s="125"/>
      <c r="P94" s="125">
        <f>L94/5</f>
        <v>0</v>
      </c>
      <c r="Q94" s="125">
        <f t="shared" si="36"/>
        <v>0</v>
      </c>
      <c r="R94" s="125">
        <f t="shared" si="37"/>
        <v>0</v>
      </c>
      <c r="S94" s="125"/>
      <c r="T94" s="125"/>
      <c r="U94" s="125"/>
      <c r="V94" s="125"/>
      <c r="W94" s="18">
        <f>+L94/5</f>
        <v>0</v>
      </c>
      <c r="Y94" s="11">
        <f>+W94*$Y$2</f>
        <v>0</v>
      </c>
      <c r="Z94" s="15">
        <f>+ROUND(Y94/$Z$2,2)</f>
        <v>0</v>
      </c>
      <c r="AA94" s="16">
        <f>ROUND(+Z94/$AA$2,2)</f>
        <v>0</v>
      </c>
      <c r="AB94" s="36">
        <f>+Z94*$AB$2</f>
        <v>0</v>
      </c>
      <c r="AC94" s="37">
        <f>+Z94*$AC$2</f>
        <v>0</v>
      </c>
      <c r="AD94" s="37">
        <f>+Z94*$AD$2</f>
        <v>0</v>
      </c>
      <c r="AE94" s="37">
        <f>+Z94*$AE$2</f>
        <v>0</v>
      </c>
      <c r="AF94" s="37">
        <f>+Z94*$AF$2</f>
        <v>0</v>
      </c>
      <c r="AG94" s="1"/>
      <c r="AH94" s="38">
        <f>+W94/12</f>
        <v>0</v>
      </c>
      <c r="AI94" s="39">
        <f t="shared" ref="AI94:AI95" si="39">+AH94*$AI$2</f>
        <v>0</v>
      </c>
      <c r="AJ94" s="39">
        <f t="shared" ref="AJ94:AJ95" si="40">+AH94*$AJ$2</f>
        <v>0</v>
      </c>
      <c r="AK94" s="39">
        <f t="shared" ref="AK94:AK95" si="41">+AH94*$AK$2</f>
        <v>0</v>
      </c>
      <c r="AL94" s="40">
        <f t="shared" ref="AL94:AL95" si="42">+AH94*$AL$2</f>
        <v>0</v>
      </c>
      <c r="AN94">
        <f t="shared" si="38"/>
        <v>0</v>
      </c>
      <c r="AO94">
        <f t="shared" si="38"/>
        <v>0</v>
      </c>
      <c r="AP94">
        <f t="shared" si="38"/>
        <v>0</v>
      </c>
      <c r="AQ94">
        <f t="shared" si="38"/>
        <v>0</v>
      </c>
      <c r="AR94">
        <f t="shared" si="38"/>
        <v>0</v>
      </c>
    </row>
    <row r="95" spans="1:44" x14ac:dyDescent="0.2">
      <c r="B95" s="225"/>
      <c r="C95" s="226"/>
      <c r="D95" s="229"/>
      <c r="E95" s="231"/>
      <c r="F95" s="227"/>
      <c r="G95" s="231"/>
      <c r="H95" s="237"/>
      <c r="I95" s="9"/>
      <c r="J95" s="180"/>
      <c r="K95" s="122"/>
      <c r="L95" s="125"/>
      <c r="M95" s="125"/>
      <c r="N95" s="217"/>
      <c r="O95" s="125"/>
      <c r="P95" s="125">
        <f>L95/5</f>
        <v>0</v>
      </c>
      <c r="Q95" s="125">
        <f t="shared" si="36"/>
        <v>0</v>
      </c>
      <c r="R95" s="125">
        <f t="shared" si="37"/>
        <v>0</v>
      </c>
      <c r="S95" s="125"/>
      <c r="T95" s="125"/>
      <c r="U95" s="125"/>
      <c r="V95" s="125"/>
      <c r="W95" s="18">
        <f>+L95/5</f>
        <v>0</v>
      </c>
      <c r="Y95" s="11">
        <f>+W95*$Y$2</f>
        <v>0</v>
      </c>
      <c r="Z95" s="11">
        <f>+ROUND(Y95/$Z$2,2)</f>
        <v>0</v>
      </c>
      <c r="AB95" s="36">
        <f>+Z95*$AB$2</f>
        <v>0</v>
      </c>
      <c r="AC95" s="37">
        <f>+Z95*$AC$2</f>
        <v>0</v>
      </c>
      <c r="AD95" s="37">
        <f>+Z95*$AD$2</f>
        <v>0</v>
      </c>
      <c r="AE95" s="37">
        <f>+Z95*$AE$2</f>
        <v>0</v>
      </c>
      <c r="AF95" s="37">
        <f>+Z95*$AF$2</f>
        <v>0</v>
      </c>
      <c r="AG95" s="1"/>
      <c r="AH95" s="38">
        <f>+W95/12</f>
        <v>0</v>
      </c>
      <c r="AI95" s="39">
        <f t="shared" si="39"/>
        <v>0</v>
      </c>
      <c r="AJ95" s="39">
        <f t="shared" si="40"/>
        <v>0</v>
      </c>
      <c r="AK95" s="39">
        <f t="shared" si="41"/>
        <v>0</v>
      </c>
      <c r="AL95" s="40">
        <f t="shared" si="42"/>
        <v>0</v>
      </c>
      <c r="AN95">
        <f t="shared" si="38"/>
        <v>0</v>
      </c>
      <c r="AO95">
        <f t="shared" si="38"/>
        <v>0</v>
      </c>
      <c r="AP95">
        <f t="shared" si="38"/>
        <v>0</v>
      </c>
      <c r="AQ95">
        <f t="shared" si="38"/>
        <v>0</v>
      </c>
      <c r="AR95">
        <f t="shared" si="38"/>
        <v>0</v>
      </c>
    </row>
    <row r="96" spans="1:44" x14ac:dyDescent="0.2">
      <c r="B96" s="233"/>
      <c r="C96" s="234"/>
      <c r="D96" s="234"/>
      <c r="E96" s="235"/>
      <c r="F96" s="235"/>
      <c r="G96" s="235"/>
      <c r="H96" s="236"/>
      <c r="I96" s="52"/>
      <c r="J96" s="181"/>
      <c r="K96" s="126"/>
      <c r="L96" s="107"/>
      <c r="M96" s="107"/>
      <c r="N96" s="218"/>
      <c r="O96" s="122"/>
      <c r="P96" s="122"/>
      <c r="Q96" s="122"/>
      <c r="R96" s="122"/>
      <c r="S96" s="122"/>
      <c r="T96" s="122"/>
      <c r="U96" s="122"/>
      <c r="V96" s="123" t="e">
        <f>(R96-L96)/L96</f>
        <v>#DIV/0!</v>
      </c>
      <c r="AB96" s="7"/>
      <c r="AC96" s="8"/>
      <c r="AD96" s="8"/>
      <c r="AE96" s="8"/>
      <c r="AF96" s="8"/>
      <c r="AG96" s="8"/>
      <c r="AH96" s="8"/>
      <c r="AI96" s="8"/>
      <c r="AJ96" s="8"/>
      <c r="AK96" s="8"/>
      <c r="AL96" s="41"/>
    </row>
    <row r="97" spans="1:44" x14ac:dyDescent="0.2">
      <c r="B97" s="212"/>
      <c r="C97" s="1"/>
      <c r="G97" s="9"/>
      <c r="H97" s="9"/>
      <c r="I97" s="9"/>
      <c r="J97" s="183"/>
      <c r="K97" s="184"/>
      <c r="L97" s="109"/>
      <c r="M97" s="109"/>
      <c r="N97" s="219"/>
      <c r="O97" s="123"/>
      <c r="P97" s="123"/>
      <c r="Q97" s="123"/>
      <c r="R97" s="123"/>
      <c r="S97" s="123"/>
      <c r="T97" s="123"/>
      <c r="U97" s="123"/>
      <c r="V97" s="123"/>
      <c r="AB97" s="1"/>
      <c r="AC97" s="1"/>
      <c r="AD97" s="1"/>
      <c r="AE97" s="1"/>
      <c r="AF97" s="1"/>
      <c r="AG97" s="1"/>
      <c r="AH97" s="1"/>
      <c r="AI97" s="1"/>
      <c r="AJ97" s="1"/>
      <c r="AK97" s="1"/>
      <c r="AL97" s="1"/>
    </row>
    <row r="98" spans="1:44" ht="13.5" thickBot="1" x14ac:dyDescent="0.25">
      <c r="B98" s="1"/>
      <c r="C98" s="1"/>
      <c r="D98" s="1"/>
      <c r="E98" s="115"/>
      <c r="F98" s="115"/>
      <c r="G98" s="115"/>
      <c r="H98" s="115"/>
      <c r="I98" s="115"/>
      <c r="J98" s="182"/>
      <c r="K98" s="145"/>
      <c r="L98" s="145"/>
      <c r="M98" s="145"/>
      <c r="N98" s="220"/>
      <c r="O98" s="123"/>
      <c r="P98" s="123"/>
      <c r="Q98" s="123"/>
      <c r="R98" s="123"/>
      <c r="S98" s="123"/>
      <c r="T98" s="123"/>
      <c r="U98" s="123"/>
      <c r="V98" s="123"/>
      <c r="AB98" s="1"/>
      <c r="AC98" s="1"/>
      <c r="AD98" s="1"/>
      <c r="AE98" s="1"/>
      <c r="AF98" s="1"/>
      <c r="AG98" s="1"/>
      <c r="AH98" s="1"/>
      <c r="AI98" s="1"/>
      <c r="AJ98" s="1"/>
      <c r="AK98" s="1"/>
      <c r="AL98" s="1"/>
    </row>
    <row r="99" spans="1:44" ht="13.5" thickBot="1" x14ac:dyDescent="0.25">
      <c r="O99" s="115"/>
      <c r="P99" s="115"/>
      <c r="Q99" s="115"/>
      <c r="R99" s="115"/>
    </row>
    <row r="100" spans="1:44" ht="13.5" x14ac:dyDescent="0.2">
      <c r="A100">
        <v>815</v>
      </c>
      <c r="B100" s="331"/>
      <c r="C100" s="332"/>
      <c r="D100" s="332"/>
      <c r="E100" s="223"/>
      <c r="F100" s="223"/>
      <c r="G100" s="223"/>
      <c r="H100" s="224"/>
      <c r="I100" s="51"/>
      <c r="J100" s="175"/>
      <c r="K100" s="176"/>
      <c r="L100" s="176"/>
      <c r="M100" s="176"/>
      <c r="N100" s="213"/>
      <c r="O100" s="115"/>
      <c r="P100" s="115"/>
      <c r="Q100" s="115"/>
      <c r="R100" s="115"/>
      <c r="S100" s="207" t="s">
        <v>173</v>
      </c>
      <c r="T100" s="115"/>
      <c r="U100" s="115"/>
      <c r="V100" s="115"/>
      <c r="AB100" s="35"/>
      <c r="AC100" s="3"/>
      <c r="AD100" s="3"/>
      <c r="AE100" s="3"/>
      <c r="AF100" s="3"/>
      <c r="AG100" s="3"/>
      <c r="AH100" s="3"/>
      <c r="AI100" s="3"/>
      <c r="AJ100" s="3"/>
      <c r="AK100" s="3"/>
      <c r="AL100" s="4"/>
    </row>
    <row r="101" spans="1:44" ht="13.5" x14ac:dyDescent="0.2">
      <c r="B101" s="225"/>
      <c r="C101" s="226"/>
      <c r="D101" s="226"/>
      <c r="E101" s="227"/>
      <c r="F101" s="227"/>
      <c r="G101" s="227"/>
      <c r="H101" s="228"/>
      <c r="I101" s="9"/>
      <c r="J101" s="177"/>
      <c r="K101" s="120"/>
      <c r="L101" s="120"/>
      <c r="M101" s="120"/>
      <c r="N101" s="214"/>
      <c r="O101" s="120"/>
      <c r="P101" s="120"/>
      <c r="Q101" s="120"/>
      <c r="R101" s="120"/>
      <c r="S101" s="207" t="s">
        <v>174</v>
      </c>
      <c r="T101" s="120"/>
      <c r="U101" s="120"/>
      <c r="V101" s="120"/>
      <c r="AB101" s="5"/>
      <c r="AC101" s="1"/>
      <c r="AD101" s="1"/>
      <c r="AE101" s="1"/>
      <c r="AF101" s="1"/>
      <c r="AG101" s="1"/>
      <c r="AH101" s="1"/>
      <c r="AI101" s="1"/>
      <c r="AJ101" s="1"/>
      <c r="AK101" s="1"/>
      <c r="AL101" s="6"/>
    </row>
    <row r="102" spans="1:44" ht="13.5" x14ac:dyDescent="0.2">
      <c r="B102" s="225"/>
      <c r="C102" s="226"/>
      <c r="D102" s="229"/>
      <c r="E102" s="229"/>
      <c r="F102" s="229"/>
      <c r="G102" s="229"/>
      <c r="H102" s="237"/>
      <c r="I102" s="9"/>
      <c r="J102" s="178"/>
      <c r="K102" s="119"/>
      <c r="L102" s="139"/>
      <c r="M102" s="139"/>
      <c r="N102" s="215"/>
      <c r="O102" s="119"/>
      <c r="P102" s="119"/>
      <c r="Q102" s="119"/>
      <c r="R102" s="119"/>
      <c r="S102" s="207" t="s">
        <v>175</v>
      </c>
      <c r="T102" s="119"/>
      <c r="U102" s="119"/>
      <c r="V102" s="119"/>
      <c r="AB102" s="5"/>
      <c r="AC102" s="1"/>
      <c r="AD102" s="1"/>
      <c r="AE102" s="1"/>
      <c r="AF102" s="1"/>
      <c r="AG102" s="1"/>
      <c r="AH102" s="1"/>
      <c r="AI102" s="1"/>
      <c r="AJ102" s="1"/>
      <c r="AK102" s="1"/>
      <c r="AL102" s="6"/>
    </row>
    <row r="103" spans="1:44" ht="13.5" x14ac:dyDescent="0.2">
      <c r="B103" s="225"/>
      <c r="C103" s="226"/>
      <c r="D103" s="229"/>
      <c r="E103" s="229"/>
      <c r="F103" s="229"/>
      <c r="G103" s="229"/>
      <c r="H103" s="230"/>
      <c r="I103" s="9"/>
      <c r="J103" s="179"/>
      <c r="K103" s="115"/>
      <c r="L103" s="115"/>
      <c r="M103" s="115"/>
      <c r="N103" s="216"/>
      <c r="O103" s="120"/>
      <c r="P103" s="120"/>
      <c r="Q103" s="120"/>
      <c r="R103" s="115"/>
      <c r="S103" s="207" t="s">
        <v>176</v>
      </c>
      <c r="T103" s="115"/>
      <c r="U103" s="115"/>
      <c r="V103" s="115"/>
      <c r="AB103" s="5"/>
      <c r="AC103" s="1"/>
      <c r="AD103" s="1"/>
      <c r="AE103" s="1"/>
      <c r="AF103" s="1"/>
      <c r="AG103" s="1"/>
      <c r="AH103" s="1"/>
      <c r="AI103" s="1"/>
      <c r="AJ103" s="1"/>
      <c r="AK103" s="1"/>
      <c r="AL103" s="6"/>
    </row>
    <row r="104" spans="1:44" ht="13.5" x14ac:dyDescent="0.2">
      <c r="B104" s="225"/>
      <c r="C104" s="226"/>
      <c r="D104" s="226"/>
      <c r="E104" s="227"/>
      <c r="F104" s="227"/>
      <c r="G104" s="227"/>
      <c r="H104" s="228"/>
      <c r="I104" s="9"/>
      <c r="J104" s="179"/>
      <c r="K104" s="115"/>
      <c r="L104" s="115"/>
      <c r="M104" s="115"/>
      <c r="N104" s="216"/>
      <c r="O104" s="120"/>
      <c r="P104" s="138"/>
      <c r="Q104" s="120"/>
      <c r="R104" s="138"/>
      <c r="S104" s="207" t="s">
        <v>177</v>
      </c>
      <c r="T104" s="138"/>
      <c r="U104" s="138"/>
      <c r="V104" s="115"/>
      <c r="AB104" s="5"/>
      <c r="AC104" s="1"/>
      <c r="AD104" s="1"/>
      <c r="AE104" s="1"/>
      <c r="AF104" s="1"/>
      <c r="AG104" s="1"/>
      <c r="AH104" s="1"/>
      <c r="AI104" s="1"/>
      <c r="AJ104" s="1"/>
      <c r="AK104" s="1"/>
      <c r="AL104" s="6"/>
    </row>
    <row r="105" spans="1:44" x14ac:dyDescent="0.2">
      <c r="B105" s="225"/>
      <c r="C105" s="226"/>
      <c r="D105" s="226"/>
      <c r="E105" s="227"/>
      <c r="F105" s="227"/>
      <c r="G105" s="227"/>
      <c r="H105" s="228"/>
      <c r="I105" s="9"/>
      <c r="J105" s="180"/>
      <c r="K105" s="122"/>
      <c r="L105" s="125"/>
      <c r="M105" s="125"/>
      <c r="N105" s="217"/>
      <c r="O105" s="125"/>
      <c r="P105" s="125">
        <f>L105/5</f>
        <v>0</v>
      </c>
      <c r="Q105" s="125">
        <f t="shared" ref="Q105:Q107" si="43">M105/5</f>
        <v>0</v>
      </c>
      <c r="R105" s="125">
        <f t="shared" ref="R105:R107" si="44">N105/5</f>
        <v>0</v>
      </c>
      <c r="S105" s="211"/>
      <c r="T105" s="125"/>
      <c r="U105" s="125"/>
      <c r="V105" s="125"/>
      <c r="W105" s="18">
        <f>+L105/5</f>
        <v>0</v>
      </c>
      <c r="Y105" s="11">
        <f>+W105*$Y$2</f>
        <v>0</v>
      </c>
      <c r="Z105" s="11">
        <f>+ROUND(Y105/$Z$2,2)</f>
        <v>0</v>
      </c>
      <c r="AB105" s="36">
        <f>+Z105*$AB$2</f>
        <v>0</v>
      </c>
      <c r="AC105" s="37">
        <f>+Z105*$AC$2</f>
        <v>0</v>
      </c>
      <c r="AD105" s="37">
        <f>+Z105*$AD$2</f>
        <v>0</v>
      </c>
      <c r="AE105" s="37">
        <f>+Z105*$AE$2</f>
        <v>0</v>
      </c>
      <c r="AF105" s="37">
        <f>+Z105*$AF$2</f>
        <v>0</v>
      </c>
      <c r="AG105" s="1"/>
      <c r="AH105" s="38">
        <f>+W105/12</f>
        <v>0</v>
      </c>
      <c r="AI105" s="39">
        <f>+AH105*$AI$2</f>
        <v>0</v>
      </c>
      <c r="AJ105" s="39">
        <f>+AH105*$AJ$2</f>
        <v>0</v>
      </c>
      <c r="AK105" s="39">
        <f>+AH105*$AK$2</f>
        <v>0</v>
      </c>
      <c r="AL105" s="40">
        <f>+AH105*$AL$2</f>
        <v>0</v>
      </c>
      <c r="AN105">
        <f t="shared" ref="AN105:AR107" si="45">+AH105*$Z$2</f>
        <v>0</v>
      </c>
      <c r="AO105">
        <f t="shared" si="45"/>
        <v>0</v>
      </c>
      <c r="AP105">
        <f t="shared" si="45"/>
        <v>0</v>
      </c>
      <c r="AQ105">
        <f t="shared" si="45"/>
        <v>0</v>
      </c>
      <c r="AR105">
        <f t="shared" si="45"/>
        <v>0</v>
      </c>
    </row>
    <row r="106" spans="1:44" ht="13.5" x14ac:dyDescent="0.2">
      <c r="B106" s="225"/>
      <c r="C106" s="226"/>
      <c r="D106" s="226"/>
      <c r="E106" s="227"/>
      <c r="F106" s="227"/>
      <c r="G106" s="227"/>
      <c r="H106" s="228"/>
      <c r="I106" s="9"/>
      <c r="J106" s="180"/>
      <c r="K106" s="122"/>
      <c r="L106" s="125"/>
      <c r="M106" s="125"/>
      <c r="N106" s="217"/>
      <c r="O106" s="125"/>
      <c r="P106" s="125">
        <f>L106/5</f>
        <v>0</v>
      </c>
      <c r="Q106" s="125">
        <f t="shared" si="43"/>
        <v>0</v>
      </c>
      <c r="R106" s="125">
        <f t="shared" si="44"/>
        <v>0</v>
      </c>
      <c r="S106" s="207" t="s">
        <v>178</v>
      </c>
      <c r="T106" s="125"/>
      <c r="U106" s="125"/>
      <c r="V106" s="125"/>
      <c r="W106" s="18">
        <f>+L106/5</f>
        <v>0</v>
      </c>
      <c r="Y106" s="11">
        <f>+W106*$Y$2</f>
        <v>0</v>
      </c>
      <c r="Z106" s="15">
        <f>+ROUND(Y106/$Z$2,2)</f>
        <v>0</v>
      </c>
      <c r="AA106" s="16">
        <f>ROUND(+Z106/$AA$2,2)</f>
        <v>0</v>
      </c>
      <c r="AB106" s="36">
        <f>+Z106*$AB$2</f>
        <v>0</v>
      </c>
      <c r="AC106" s="37">
        <f>+Z106*$AC$2</f>
        <v>0</v>
      </c>
      <c r="AD106" s="37">
        <f>+Z106*$AD$2</f>
        <v>0</v>
      </c>
      <c r="AE106" s="37">
        <f>+Z106*$AE$2</f>
        <v>0</v>
      </c>
      <c r="AF106" s="37">
        <f>+Z106*$AF$2</f>
        <v>0</v>
      </c>
      <c r="AG106" s="1"/>
      <c r="AH106" s="38">
        <f>+W106/12</f>
        <v>0</v>
      </c>
      <c r="AI106" s="39">
        <f t="shared" ref="AI106:AI107" si="46">+AH106*$AI$2</f>
        <v>0</v>
      </c>
      <c r="AJ106" s="39">
        <f t="shared" ref="AJ106:AJ107" si="47">+AH106*$AJ$2</f>
        <v>0</v>
      </c>
      <c r="AK106" s="39">
        <f t="shared" ref="AK106:AK107" si="48">+AH106*$AK$2</f>
        <v>0</v>
      </c>
      <c r="AL106" s="40">
        <f t="shared" ref="AL106:AL107" si="49">+AH106*$AL$2</f>
        <v>0</v>
      </c>
      <c r="AN106">
        <f t="shared" si="45"/>
        <v>0</v>
      </c>
      <c r="AO106">
        <f t="shared" si="45"/>
        <v>0</v>
      </c>
      <c r="AP106">
        <f t="shared" si="45"/>
        <v>0</v>
      </c>
      <c r="AQ106">
        <f t="shared" si="45"/>
        <v>0</v>
      </c>
      <c r="AR106">
        <f t="shared" si="45"/>
        <v>0</v>
      </c>
    </row>
    <row r="107" spans="1:44" x14ac:dyDescent="0.2">
      <c r="B107" s="225"/>
      <c r="C107" s="226"/>
      <c r="D107" s="229"/>
      <c r="E107" s="231"/>
      <c r="F107" s="227"/>
      <c r="G107" s="231"/>
      <c r="H107" s="237"/>
      <c r="I107" s="9"/>
      <c r="J107" s="180"/>
      <c r="K107" s="122"/>
      <c r="L107" s="125"/>
      <c r="M107" s="125"/>
      <c r="N107" s="217"/>
      <c r="O107" s="125"/>
      <c r="P107" s="125">
        <f>L107/5</f>
        <v>0</v>
      </c>
      <c r="Q107" s="125">
        <f t="shared" si="43"/>
        <v>0</v>
      </c>
      <c r="R107" s="125">
        <f t="shared" si="44"/>
        <v>0</v>
      </c>
      <c r="S107" s="211"/>
      <c r="T107" s="125"/>
      <c r="U107" s="125"/>
      <c r="V107" s="125"/>
      <c r="W107" s="18">
        <f>+L107/5</f>
        <v>0</v>
      </c>
      <c r="Y107" s="11">
        <f>+W107*$Y$2</f>
        <v>0</v>
      </c>
      <c r="Z107" s="11">
        <f>+ROUND(Y107/$Z$2,2)</f>
        <v>0</v>
      </c>
      <c r="AB107" s="36">
        <f>+Z107*$AB$2</f>
        <v>0</v>
      </c>
      <c r="AC107" s="37">
        <f>+Z107*$AC$2</f>
        <v>0</v>
      </c>
      <c r="AD107" s="37">
        <f>+Z107*$AD$2</f>
        <v>0</v>
      </c>
      <c r="AE107" s="37">
        <f>+Z107*$AE$2</f>
        <v>0</v>
      </c>
      <c r="AF107" s="37">
        <f>+Z107*$AF$2</f>
        <v>0</v>
      </c>
      <c r="AG107" s="1"/>
      <c r="AH107" s="38">
        <f>+W107/12</f>
        <v>0</v>
      </c>
      <c r="AI107" s="39">
        <f t="shared" si="46"/>
        <v>0</v>
      </c>
      <c r="AJ107" s="39">
        <f t="shared" si="47"/>
        <v>0</v>
      </c>
      <c r="AK107" s="39">
        <f t="shared" si="48"/>
        <v>0</v>
      </c>
      <c r="AL107" s="40">
        <f t="shared" si="49"/>
        <v>0</v>
      </c>
      <c r="AN107">
        <f t="shared" si="45"/>
        <v>0</v>
      </c>
      <c r="AO107">
        <f t="shared" si="45"/>
        <v>0</v>
      </c>
      <c r="AP107">
        <f t="shared" si="45"/>
        <v>0</v>
      </c>
      <c r="AQ107">
        <f t="shared" si="45"/>
        <v>0</v>
      </c>
      <c r="AR107">
        <f t="shared" si="45"/>
        <v>0</v>
      </c>
    </row>
    <row r="108" spans="1:44" ht="13.5" x14ac:dyDescent="0.2">
      <c r="B108" s="233"/>
      <c r="C108" s="234"/>
      <c r="D108" s="234"/>
      <c r="E108" s="235"/>
      <c r="F108" s="235"/>
      <c r="G108" s="235"/>
      <c r="H108" s="236"/>
      <c r="I108" s="52"/>
      <c r="J108" s="181"/>
      <c r="K108" s="126"/>
      <c r="L108" s="107"/>
      <c r="M108" s="107"/>
      <c r="N108" s="218"/>
      <c r="O108" s="122"/>
      <c r="P108" s="122"/>
      <c r="Q108" s="122"/>
      <c r="R108" s="122"/>
      <c r="S108" s="207" t="s">
        <v>179</v>
      </c>
      <c r="T108" s="122"/>
      <c r="U108" s="122"/>
      <c r="V108" s="123" t="e">
        <f>(R108-L108)/L108</f>
        <v>#DIV/0!</v>
      </c>
      <c r="AB108" s="7"/>
      <c r="AC108" s="8"/>
      <c r="AD108" s="8"/>
      <c r="AE108" s="8"/>
      <c r="AF108" s="8"/>
      <c r="AG108" s="8"/>
      <c r="AH108" s="8"/>
      <c r="AI108" s="8"/>
      <c r="AJ108" s="8"/>
      <c r="AK108" s="8"/>
      <c r="AL108" s="41"/>
    </row>
    <row r="109" spans="1:44" x14ac:dyDescent="0.2">
      <c r="B109" s="1"/>
      <c r="C109" s="1"/>
      <c r="D109" s="1"/>
      <c r="E109" s="9"/>
      <c r="F109" s="9"/>
      <c r="G109" s="9"/>
      <c r="H109" s="9"/>
      <c r="I109" s="9"/>
      <c r="J109" s="183"/>
      <c r="K109" s="184"/>
      <c r="L109" s="109"/>
      <c r="M109" s="109"/>
      <c r="N109" s="219"/>
      <c r="O109" s="123"/>
      <c r="P109" s="123"/>
      <c r="Q109" s="123"/>
      <c r="R109" s="123"/>
      <c r="S109" s="208"/>
      <c r="T109" s="123"/>
      <c r="U109" s="123"/>
      <c r="V109" s="123"/>
    </row>
    <row r="110" spans="1:44" ht="13.5" thickBot="1" x14ac:dyDescent="0.25">
      <c r="B110" s="1"/>
      <c r="C110" s="1"/>
      <c r="D110" s="1"/>
      <c r="E110" s="115"/>
      <c r="F110" s="115"/>
      <c r="G110" s="115"/>
      <c r="H110" s="115"/>
      <c r="I110" s="115"/>
      <c r="J110" s="182"/>
      <c r="K110" s="145"/>
      <c r="L110" s="145"/>
      <c r="M110" s="145"/>
      <c r="N110" s="220"/>
      <c r="O110" s="123"/>
      <c r="P110" s="123"/>
      <c r="Q110" s="123"/>
      <c r="R110" s="123"/>
      <c r="S110" s="123"/>
      <c r="T110" s="123"/>
      <c r="U110" s="123"/>
      <c r="V110" s="123"/>
    </row>
    <row r="111" spans="1:44" ht="13.5" thickBot="1" x14ac:dyDescent="0.25">
      <c r="O111" s="115"/>
      <c r="P111" s="115"/>
      <c r="Q111" s="115"/>
      <c r="R111" s="115"/>
    </row>
    <row r="112" spans="1:44" ht="14.25" x14ac:dyDescent="0.2">
      <c r="A112">
        <v>816</v>
      </c>
      <c r="B112" s="331"/>
      <c r="C112" s="332"/>
      <c r="D112" s="332"/>
      <c r="E112" s="223"/>
      <c r="F112" s="223"/>
      <c r="G112" s="223"/>
      <c r="H112" s="224"/>
      <c r="I112" s="51"/>
      <c r="J112" s="175"/>
      <c r="K112" s="176"/>
      <c r="L112" s="176"/>
      <c r="M112" s="176"/>
      <c r="N112" s="213"/>
      <c r="O112" s="115"/>
      <c r="P112" s="115"/>
      <c r="Q112" s="115"/>
      <c r="R112" s="115"/>
      <c r="S112" s="209" t="s">
        <v>180</v>
      </c>
      <c r="T112" s="115"/>
      <c r="U112" s="115"/>
      <c r="V112" s="115"/>
      <c r="AB112" s="35"/>
      <c r="AC112" s="3"/>
      <c r="AD112" s="3"/>
      <c r="AE112" s="3"/>
      <c r="AF112" s="3"/>
      <c r="AG112" s="3"/>
      <c r="AH112" s="3"/>
      <c r="AI112" s="3"/>
      <c r="AJ112" s="3"/>
      <c r="AK112" s="3"/>
      <c r="AL112" s="4"/>
    </row>
    <row r="113" spans="1:44" ht="14.25" x14ac:dyDescent="0.2">
      <c r="B113" s="225"/>
      <c r="C113" s="226"/>
      <c r="D113" s="226"/>
      <c r="E113" s="227"/>
      <c r="F113" s="227"/>
      <c r="G113" s="227"/>
      <c r="H113" s="228"/>
      <c r="I113" s="9"/>
      <c r="J113" s="177"/>
      <c r="K113" s="120"/>
      <c r="L113" s="120"/>
      <c r="M113" s="120"/>
      <c r="N113" s="214"/>
      <c r="O113" s="120"/>
      <c r="P113" s="120"/>
      <c r="Q113" s="120"/>
      <c r="R113" s="120"/>
      <c r="S113" s="209"/>
      <c r="T113" s="120"/>
      <c r="U113" s="120"/>
      <c r="V113" s="120"/>
      <c r="AB113" s="5"/>
      <c r="AC113" s="1"/>
      <c r="AD113" s="1"/>
      <c r="AE113" s="1"/>
      <c r="AF113" s="1"/>
      <c r="AG113" s="1"/>
      <c r="AH113" s="1"/>
      <c r="AI113" s="1"/>
      <c r="AJ113" s="1"/>
      <c r="AK113" s="1"/>
      <c r="AL113" s="6"/>
    </row>
    <row r="114" spans="1:44" ht="14.25" x14ac:dyDescent="0.2">
      <c r="B114" s="225"/>
      <c r="C114" s="226"/>
      <c r="D114" s="229"/>
      <c r="E114" s="229"/>
      <c r="F114" s="229"/>
      <c r="G114" s="229"/>
      <c r="H114" s="237"/>
      <c r="I114" s="9"/>
      <c r="J114" s="178"/>
      <c r="K114" s="119"/>
      <c r="L114" s="139"/>
      <c r="M114" s="139"/>
      <c r="N114" s="215"/>
      <c r="O114" s="119"/>
      <c r="P114" s="119"/>
      <c r="Q114" s="119"/>
      <c r="R114" s="119"/>
      <c r="S114" s="209" t="s">
        <v>181</v>
      </c>
      <c r="T114" s="119"/>
      <c r="U114" s="119"/>
      <c r="V114" s="119"/>
      <c r="AB114" s="5"/>
      <c r="AC114" s="1"/>
      <c r="AD114" s="1"/>
      <c r="AE114" s="1"/>
      <c r="AF114" s="1"/>
      <c r="AG114" s="1"/>
      <c r="AH114" s="1"/>
      <c r="AI114" s="1"/>
      <c r="AJ114" s="1"/>
      <c r="AK114" s="1"/>
      <c r="AL114" s="6"/>
    </row>
    <row r="115" spans="1:44" ht="14.25" x14ac:dyDescent="0.2">
      <c r="B115" s="225"/>
      <c r="C115" s="226"/>
      <c r="D115" s="229"/>
      <c r="E115" s="229"/>
      <c r="F115" s="229"/>
      <c r="G115" s="229"/>
      <c r="H115" s="230"/>
      <c r="I115" s="9"/>
      <c r="J115" s="179"/>
      <c r="K115" s="115"/>
      <c r="L115" s="115"/>
      <c r="M115" s="115"/>
      <c r="N115" s="216"/>
      <c r="O115" s="120"/>
      <c r="P115" s="120"/>
      <c r="Q115" s="120"/>
      <c r="R115" s="115"/>
      <c r="S115" s="209" t="s">
        <v>182</v>
      </c>
      <c r="T115" s="115"/>
      <c r="U115" s="115"/>
      <c r="V115" s="115"/>
      <c r="AB115" s="5"/>
      <c r="AC115" s="1"/>
      <c r="AD115" s="1"/>
      <c r="AE115" s="1"/>
      <c r="AF115" s="1"/>
      <c r="AG115" s="1"/>
      <c r="AH115" s="1"/>
      <c r="AI115" s="1"/>
      <c r="AJ115" s="1"/>
      <c r="AK115" s="1"/>
      <c r="AL115" s="6"/>
    </row>
    <row r="116" spans="1:44" x14ac:dyDescent="0.2">
      <c r="B116" s="225"/>
      <c r="C116" s="226"/>
      <c r="D116" s="226"/>
      <c r="E116" s="227"/>
      <c r="F116" s="227"/>
      <c r="G116" s="227"/>
      <c r="H116" s="228"/>
      <c r="I116" s="9"/>
      <c r="J116" s="179"/>
      <c r="K116" s="115"/>
      <c r="L116" s="115"/>
      <c r="M116" s="115"/>
      <c r="N116" s="216"/>
      <c r="O116" s="120"/>
      <c r="P116" s="138"/>
      <c r="Q116" s="120"/>
      <c r="R116" s="138"/>
      <c r="S116" s="138"/>
      <c r="T116" s="138"/>
      <c r="U116" s="138"/>
      <c r="V116" s="115"/>
      <c r="AB116" s="5"/>
      <c r="AC116" s="1"/>
      <c r="AD116" s="1"/>
      <c r="AE116" s="1"/>
      <c r="AF116" s="1"/>
      <c r="AG116" s="1"/>
      <c r="AH116" s="1"/>
      <c r="AI116" s="1"/>
      <c r="AJ116" s="1"/>
      <c r="AK116" s="1"/>
      <c r="AL116" s="6"/>
    </row>
    <row r="117" spans="1:44" x14ac:dyDescent="0.2">
      <c r="B117" s="225"/>
      <c r="C117" s="226"/>
      <c r="D117" s="226"/>
      <c r="E117" s="227"/>
      <c r="F117" s="227"/>
      <c r="G117" s="227"/>
      <c r="H117" s="228"/>
      <c r="I117" s="9"/>
      <c r="J117" s="180"/>
      <c r="K117" s="122"/>
      <c r="L117" s="125"/>
      <c r="M117" s="125"/>
      <c r="N117" s="217"/>
      <c r="O117" s="125"/>
      <c r="P117" s="125">
        <f>L117/5</f>
        <v>0</v>
      </c>
      <c r="Q117" s="125">
        <f t="shared" ref="Q117:Q119" si="50">M117/5</f>
        <v>0</v>
      </c>
      <c r="R117" s="125">
        <f t="shared" ref="R117:R119" si="51">N117/5</f>
        <v>0</v>
      </c>
      <c r="S117" s="125"/>
      <c r="T117" s="125"/>
      <c r="U117" s="125"/>
      <c r="V117" s="125"/>
      <c r="W117" s="18">
        <f>+L117/5</f>
        <v>0</v>
      </c>
      <c r="Y117" s="11">
        <f>+W117*$Y$2</f>
        <v>0</v>
      </c>
      <c r="Z117" s="11">
        <f>+ROUND(Y117/$Z$2,2)</f>
        <v>0</v>
      </c>
      <c r="AB117" s="36">
        <f>+Z117*$AB$2</f>
        <v>0</v>
      </c>
      <c r="AC117" s="37">
        <f>+Z117*$AC$2</f>
        <v>0</v>
      </c>
      <c r="AD117" s="37">
        <f>+Z117*$AD$2</f>
        <v>0</v>
      </c>
      <c r="AE117" s="37">
        <f>+Z117*$AE$2</f>
        <v>0</v>
      </c>
      <c r="AF117" s="37">
        <f>+Z117*$AF$2</f>
        <v>0</v>
      </c>
      <c r="AG117" s="1"/>
      <c r="AH117" s="38">
        <f>+W117/12</f>
        <v>0</v>
      </c>
      <c r="AI117" s="39">
        <f>+AH117*$AI$2</f>
        <v>0</v>
      </c>
      <c r="AJ117" s="39">
        <f>+AH117*$AJ$2</f>
        <v>0</v>
      </c>
      <c r="AK117" s="39">
        <f>+AH117*$AK$2</f>
        <v>0</v>
      </c>
      <c r="AL117" s="40">
        <f>+AH117*$AL$2</f>
        <v>0</v>
      </c>
      <c r="AN117">
        <f t="shared" ref="AN117:AR119" si="52">+AH117*$Z$2</f>
        <v>0</v>
      </c>
      <c r="AO117">
        <f t="shared" si="52"/>
        <v>0</v>
      </c>
      <c r="AP117">
        <f t="shared" si="52"/>
        <v>0</v>
      </c>
      <c r="AQ117">
        <f t="shared" si="52"/>
        <v>0</v>
      </c>
      <c r="AR117">
        <f t="shared" si="52"/>
        <v>0</v>
      </c>
    </row>
    <row r="118" spans="1:44" x14ac:dyDescent="0.2">
      <c r="B118" s="225"/>
      <c r="C118" s="226"/>
      <c r="D118" s="226"/>
      <c r="E118" s="227"/>
      <c r="F118" s="227"/>
      <c r="G118" s="227"/>
      <c r="H118" s="228"/>
      <c r="I118" s="9"/>
      <c r="J118" s="180"/>
      <c r="K118" s="122"/>
      <c r="L118" s="125"/>
      <c r="M118" s="125"/>
      <c r="N118" s="217"/>
      <c r="O118" s="125"/>
      <c r="P118" s="125">
        <f>L118/5</f>
        <v>0</v>
      </c>
      <c r="Q118" s="125">
        <f t="shared" si="50"/>
        <v>0</v>
      </c>
      <c r="R118" s="125">
        <f t="shared" si="51"/>
        <v>0</v>
      </c>
      <c r="S118" s="125"/>
      <c r="T118" s="125"/>
      <c r="U118" s="125"/>
      <c r="V118" s="125"/>
      <c r="W118" s="18">
        <f>+L118/5</f>
        <v>0</v>
      </c>
      <c r="Y118" s="11">
        <f>+W118*$Y$2</f>
        <v>0</v>
      </c>
      <c r="Z118" s="15">
        <f>+ROUND(Y118/$Z$2,2)</f>
        <v>0</v>
      </c>
      <c r="AA118" s="16">
        <f>ROUND(+Z118/$AA$2,2)</f>
        <v>0</v>
      </c>
      <c r="AB118" s="36">
        <f>+Z118*$AB$2</f>
        <v>0</v>
      </c>
      <c r="AC118" s="37">
        <f>+Z118*$AC$2</f>
        <v>0</v>
      </c>
      <c r="AD118" s="37">
        <f>+Z118*$AD$2</f>
        <v>0</v>
      </c>
      <c r="AE118" s="37">
        <f>+Z118*$AE$2</f>
        <v>0</v>
      </c>
      <c r="AF118" s="37">
        <f>+Z118*$AF$2</f>
        <v>0</v>
      </c>
      <c r="AG118" s="1"/>
      <c r="AH118" s="38">
        <f>+W118/12</f>
        <v>0</v>
      </c>
      <c r="AI118" s="39">
        <f t="shared" ref="AI118:AI119" si="53">+AH118*$AI$2</f>
        <v>0</v>
      </c>
      <c r="AJ118" s="39">
        <f t="shared" ref="AJ118:AJ119" si="54">+AH118*$AJ$2</f>
        <v>0</v>
      </c>
      <c r="AK118" s="39">
        <f t="shared" ref="AK118:AK119" si="55">+AH118*$AK$2</f>
        <v>0</v>
      </c>
      <c r="AL118" s="40">
        <f t="shared" ref="AL118:AL119" si="56">+AH118*$AL$2</f>
        <v>0</v>
      </c>
      <c r="AN118">
        <f t="shared" si="52"/>
        <v>0</v>
      </c>
      <c r="AO118">
        <f t="shared" si="52"/>
        <v>0</v>
      </c>
      <c r="AP118">
        <f t="shared" si="52"/>
        <v>0</v>
      </c>
      <c r="AQ118">
        <f t="shared" si="52"/>
        <v>0</v>
      </c>
      <c r="AR118">
        <f t="shared" si="52"/>
        <v>0</v>
      </c>
    </row>
    <row r="119" spans="1:44" x14ac:dyDescent="0.2">
      <c r="B119" s="225"/>
      <c r="C119" s="226"/>
      <c r="D119" s="229"/>
      <c r="E119" s="231"/>
      <c r="F119" s="227"/>
      <c r="G119" s="231"/>
      <c r="H119" s="237"/>
      <c r="I119" s="9"/>
      <c r="J119" s="180"/>
      <c r="K119" s="122"/>
      <c r="L119" s="125"/>
      <c r="M119" s="125"/>
      <c r="N119" s="217"/>
      <c r="O119" s="125"/>
      <c r="P119" s="125">
        <f>L119/5</f>
        <v>0</v>
      </c>
      <c r="Q119" s="125">
        <f t="shared" si="50"/>
        <v>0</v>
      </c>
      <c r="R119" s="125">
        <f t="shared" si="51"/>
        <v>0</v>
      </c>
      <c r="S119" s="125"/>
      <c r="T119" s="125"/>
      <c r="U119" s="125"/>
      <c r="V119" s="125"/>
      <c r="W119" s="18">
        <f>+L119/5</f>
        <v>0</v>
      </c>
      <c r="Y119" s="11">
        <f>+W119*$Y$2</f>
        <v>0</v>
      </c>
      <c r="Z119" s="11">
        <f>+ROUND(Y119/$Z$2,2)</f>
        <v>0</v>
      </c>
      <c r="AB119" s="36">
        <f>+Z119*$AB$2</f>
        <v>0</v>
      </c>
      <c r="AC119" s="37">
        <f>+Z119*$AC$2</f>
        <v>0</v>
      </c>
      <c r="AD119" s="37">
        <f>+Z119*$AD$2</f>
        <v>0</v>
      </c>
      <c r="AE119" s="37">
        <f>+Z119*$AE$2</f>
        <v>0</v>
      </c>
      <c r="AF119" s="37">
        <f>+Z119*$AF$2</f>
        <v>0</v>
      </c>
      <c r="AG119" s="1"/>
      <c r="AH119" s="38">
        <f>+W119/12</f>
        <v>0</v>
      </c>
      <c r="AI119" s="39">
        <f t="shared" si="53"/>
        <v>0</v>
      </c>
      <c r="AJ119" s="39">
        <f t="shared" si="54"/>
        <v>0</v>
      </c>
      <c r="AK119" s="39">
        <f t="shared" si="55"/>
        <v>0</v>
      </c>
      <c r="AL119" s="40">
        <f t="shared" si="56"/>
        <v>0</v>
      </c>
      <c r="AN119">
        <f t="shared" si="52"/>
        <v>0</v>
      </c>
      <c r="AO119">
        <f t="shared" si="52"/>
        <v>0</v>
      </c>
      <c r="AP119">
        <f t="shared" si="52"/>
        <v>0</v>
      </c>
      <c r="AQ119">
        <f t="shared" si="52"/>
        <v>0</v>
      </c>
      <c r="AR119">
        <f t="shared" si="52"/>
        <v>0</v>
      </c>
    </row>
    <row r="120" spans="1:44" x14ac:dyDescent="0.2">
      <c r="B120" s="233"/>
      <c r="C120" s="234"/>
      <c r="D120" s="234"/>
      <c r="E120" s="235"/>
      <c r="F120" s="235"/>
      <c r="G120" s="235"/>
      <c r="H120" s="236"/>
      <c r="I120" s="52"/>
      <c r="J120" s="181"/>
      <c r="K120" s="126"/>
      <c r="L120" s="107"/>
      <c r="M120" s="107"/>
      <c r="N120" s="218"/>
      <c r="O120" s="122"/>
      <c r="P120" s="122"/>
      <c r="Q120" s="122"/>
      <c r="R120" s="122"/>
      <c r="S120" s="122"/>
      <c r="T120" s="122"/>
      <c r="U120" s="122"/>
      <c r="V120" s="123" t="e">
        <f>(R120-L120)/L120</f>
        <v>#DIV/0!</v>
      </c>
      <c r="AB120" s="7"/>
      <c r="AC120" s="8"/>
      <c r="AD120" s="8"/>
      <c r="AE120" s="8"/>
      <c r="AF120" s="8"/>
      <c r="AG120" s="8"/>
      <c r="AH120" s="8"/>
      <c r="AI120" s="8"/>
      <c r="AJ120" s="8"/>
      <c r="AK120" s="8"/>
      <c r="AL120" s="41"/>
    </row>
    <row r="121" spans="1:44" x14ac:dyDescent="0.2">
      <c r="J121" s="183"/>
      <c r="K121" s="184"/>
      <c r="L121" s="109"/>
      <c r="M121" s="109"/>
      <c r="N121" s="219"/>
      <c r="O121" s="123"/>
      <c r="P121" s="123"/>
      <c r="Q121" s="123"/>
      <c r="R121" s="123"/>
      <c r="S121" s="123"/>
      <c r="T121" s="123"/>
      <c r="U121" s="123"/>
      <c r="V121" s="123"/>
    </row>
    <row r="122" spans="1:44" ht="13.5" thickBot="1" x14ac:dyDescent="0.25">
      <c r="E122" s="116"/>
      <c r="F122" s="116"/>
      <c r="G122" s="116"/>
      <c r="H122" s="116"/>
      <c r="I122" s="116"/>
      <c r="J122" s="182"/>
      <c r="K122" s="145"/>
      <c r="L122" s="145"/>
      <c r="M122" s="145"/>
      <c r="N122" s="220"/>
      <c r="O122" s="123"/>
      <c r="P122" s="123"/>
      <c r="Q122" s="123"/>
      <c r="R122" s="123"/>
      <c r="S122" s="123"/>
      <c r="T122" s="123"/>
      <c r="U122" s="123"/>
      <c r="V122" s="123"/>
    </row>
    <row r="123" spans="1:44" ht="13.5" thickBot="1" x14ac:dyDescent="0.25">
      <c r="J123" s="57"/>
      <c r="O123" s="115"/>
      <c r="P123" s="115"/>
      <c r="Q123" s="115"/>
      <c r="R123" s="115"/>
    </row>
    <row r="124" spans="1:44" x14ac:dyDescent="0.2">
      <c r="A124">
        <v>817</v>
      </c>
      <c r="B124" s="221" t="s">
        <v>237</v>
      </c>
      <c r="C124" s="222"/>
      <c r="D124" s="222"/>
      <c r="E124" s="223"/>
      <c r="F124" s="223"/>
      <c r="G124" s="223"/>
      <c r="H124" s="224"/>
      <c r="I124" s="51"/>
      <c r="J124" s="175"/>
      <c r="K124" s="176"/>
      <c r="L124" s="176"/>
      <c r="M124" s="176"/>
      <c r="N124" s="213"/>
      <c r="O124" s="115"/>
      <c r="P124" s="115"/>
      <c r="Q124" s="115"/>
      <c r="R124" s="115"/>
      <c r="S124" s="115" t="s">
        <v>191</v>
      </c>
      <c r="T124" s="115"/>
      <c r="U124" s="115"/>
      <c r="V124" s="115"/>
      <c r="AB124" s="35"/>
      <c r="AC124" s="3"/>
      <c r="AD124" s="3"/>
      <c r="AE124" s="3"/>
      <c r="AF124" s="3"/>
      <c r="AG124" s="3"/>
      <c r="AH124" s="3"/>
      <c r="AI124" s="3"/>
      <c r="AJ124" s="3"/>
      <c r="AK124" s="3"/>
      <c r="AL124" s="4"/>
    </row>
    <row r="125" spans="1:44" x14ac:dyDescent="0.2">
      <c r="B125" s="225"/>
      <c r="C125" s="226"/>
      <c r="D125" s="226" t="s">
        <v>2</v>
      </c>
      <c r="E125" s="227" t="s">
        <v>3</v>
      </c>
      <c r="F125" s="227" t="s">
        <v>4</v>
      </c>
      <c r="G125" s="227" t="s">
        <v>5</v>
      </c>
      <c r="H125" s="228" t="s">
        <v>6</v>
      </c>
      <c r="I125" s="9"/>
      <c r="J125" s="177" t="s">
        <v>47</v>
      </c>
      <c r="K125" s="120" t="s">
        <v>48</v>
      </c>
      <c r="L125" s="120" t="s">
        <v>12</v>
      </c>
      <c r="M125" s="120" t="s">
        <v>12</v>
      </c>
      <c r="N125" s="214" t="s">
        <v>12</v>
      </c>
      <c r="O125" s="120"/>
      <c r="P125" s="120"/>
      <c r="Q125" s="120"/>
      <c r="R125" s="120"/>
      <c r="S125" s="120" t="s">
        <v>190</v>
      </c>
      <c r="T125" s="120"/>
      <c r="U125" s="120"/>
      <c r="V125" s="120"/>
      <c r="AB125" s="5"/>
      <c r="AC125" s="1"/>
      <c r="AD125" s="1"/>
      <c r="AE125" s="1"/>
      <c r="AF125" s="1"/>
      <c r="AG125" s="1"/>
      <c r="AH125" s="1"/>
      <c r="AI125" s="1"/>
      <c r="AJ125" s="1"/>
      <c r="AK125" s="1"/>
      <c r="AL125" s="6"/>
    </row>
    <row r="126" spans="1:44" ht="25.5" x14ac:dyDescent="0.2">
      <c r="B126" s="225" t="s">
        <v>0</v>
      </c>
      <c r="C126" s="226" t="s">
        <v>49</v>
      </c>
      <c r="D126" s="229" t="s">
        <v>194</v>
      </c>
      <c r="E126" s="229" t="s">
        <v>194</v>
      </c>
      <c r="F126" s="229" t="s">
        <v>8</v>
      </c>
      <c r="G126" s="229" t="s">
        <v>194</v>
      </c>
      <c r="H126" s="230" t="s">
        <v>193</v>
      </c>
      <c r="I126" s="9"/>
      <c r="J126" s="178" t="s">
        <v>46</v>
      </c>
      <c r="K126" s="119" t="s">
        <v>46</v>
      </c>
      <c r="L126" s="139" t="s">
        <v>97</v>
      </c>
      <c r="M126" s="139" t="s">
        <v>46</v>
      </c>
      <c r="N126" s="215" t="s">
        <v>46</v>
      </c>
      <c r="O126" s="120"/>
      <c r="P126" s="120"/>
      <c r="Q126" s="120"/>
      <c r="R126" s="120"/>
      <c r="S126" s="120"/>
      <c r="T126" s="120"/>
      <c r="U126" s="120"/>
      <c r="V126" s="120"/>
      <c r="AB126" s="5"/>
      <c r="AC126" s="1"/>
      <c r="AD126" s="1"/>
      <c r="AE126" s="1"/>
      <c r="AF126" s="1"/>
      <c r="AG126" s="1"/>
      <c r="AH126" s="1"/>
      <c r="AI126" s="1"/>
      <c r="AJ126" s="1"/>
      <c r="AK126" s="1"/>
      <c r="AL126" s="6"/>
    </row>
    <row r="127" spans="1:44" x14ac:dyDescent="0.2">
      <c r="B127" s="225"/>
      <c r="C127" s="226"/>
      <c r="D127" s="229"/>
      <c r="E127" s="229"/>
      <c r="F127" s="231"/>
      <c r="G127" s="229"/>
      <c r="H127" s="230"/>
      <c r="I127" s="9"/>
      <c r="J127" s="179"/>
      <c r="K127" s="115"/>
      <c r="L127" s="115" t="s">
        <v>90</v>
      </c>
      <c r="M127" s="115" t="s">
        <v>120</v>
      </c>
      <c r="N127" s="216" t="s">
        <v>95</v>
      </c>
      <c r="O127" s="119"/>
      <c r="P127" s="119"/>
      <c r="Q127" s="119"/>
      <c r="R127" s="119"/>
      <c r="S127" s="119"/>
      <c r="T127" s="119"/>
      <c r="U127" s="119"/>
      <c r="V127" s="119"/>
      <c r="AB127" s="5"/>
      <c r="AC127" s="1"/>
      <c r="AD127" s="1"/>
      <c r="AE127" s="1"/>
      <c r="AF127" s="1"/>
      <c r="AG127" s="1"/>
      <c r="AH127" s="1"/>
      <c r="AI127" s="1"/>
      <c r="AJ127" s="1"/>
      <c r="AK127" s="1"/>
      <c r="AL127" s="6"/>
    </row>
    <row r="128" spans="1:44" ht="25.5" x14ac:dyDescent="0.2">
      <c r="B128" s="225" t="s">
        <v>1</v>
      </c>
      <c r="C128" s="226" t="s">
        <v>50</v>
      </c>
      <c r="D128" s="229" t="s">
        <v>194</v>
      </c>
      <c r="E128" s="229" t="s">
        <v>194</v>
      </c>
      <c r="F128" s="229" t="s">
        <v>8</v>
      </c>
      <c r="G128" s="229" t="s">
        <v>194</v>
      </c>
      <c r="H128" s="230" t="s">
        <v>194</v>
      </c>
      <c r="I128" s="9"/>
      <c r="J128" s="179"/>
      <c r="K128" s="115"/>
      <c r="L128" s="115"/>
      <c r="M128" s="115"/>
      <c r="N128" s="216"/>
      <c r="O128" s="120"/>
      <c r="P128" s="120"/>
      <c r="Q128" s="120"/>
      <c r="R128" s="115"/>
      <c r="S128" s="115"/>
      <c r="T128" s="115"/>
      <c r="U128" s="115"/>
      <c r="V128" s="115"/>
      <c r="AB128" s="5"/>
      <c r="AC128" s="1"/>
      <c r="AD128" s="1"/>
      <c r="AE128" s="1"/>
      <c r="AF128" s="1"/>
      <c r="AG128" s="1"/>
      <c r="AH128" s="1"/>
      <c r="AI128" s="1"/>
      <c r="AJ128" s="1"/>
      <c r="AK128" s="1"/>
      <c r="AL128" s="6"/>
    </row>
    <row r="129" spans="1:44" x14ac:dyDescent="0.2">
      <c r="B129" s="225"/>
      <c r="C129" s="226"/>
      <c r="D129" s="226"/>
      <c r="E129" s="227"/>
      <c r="F129" s="227"/>
      <c r="G129" s="227"/>
      <c r="H129" s="228"/>
      <c r="I129" s="9"/>
      <c r="J129" s="179"/>
      <c r="K129" s="115"/>
      <c r="L129" s="115"/>
      <c r="M129" s="115"/>
      <c r="N129" s="216"/>
      <c r="O129" s="120"/>
      <c r="P129" s="138"/>
      <c r="Q129" s="120"/>
      <c r="R129" s="138"/>
      <c r="S129" s="138"/>
      <c r="T129" s="138"/>
      <c r="U129" s="138"/>
      <c r="V129" s="115"/>
      <c r="AB129" s="5"/>
      <c r="AC129" s="1"/>
      <c r="AD129" s="1"/>
      <c r="AE129" s="1"/>
      <c r="AF129" s="1"/>
      <c r="AG129" s="1"/>
      <c r="AH129" s="1"/>
      <c r="AI129" s="1"/>
      <c r="AJ129" s="1"/>
      <c r="AK129" s="1"/>
      <c r="AL129" s="6"/>
    </row>
    <row r="130" spans="1:44" x14ac:dyDescent="0.2">
      <c r="B130" s="225" t="s">
        <v>9</v>
      </c>
      <c r="C130" s="226"/>
      <c r="D130" s="226">
        <v>1</v>
      </c>
      <c r="E130" s="227">
        <v>1</v>
      </c>
      <c r="F130" s="227">
        <v>1</v>
      </c>
      <c r="G130" s="227">
        <v>1</v>
      </c>
      <c r="H130" s="228">
        <v>1</v>
      </c>
      <c r="I130" s="9"/>
      <c r="J130" s="180">
        <f>(SUM(D130:I130)*J$11)</f>
        <v>200</v>
      </c>
      <c r="K130" s="122">
        <f>(5*11*K$11)</f>
        <v>660</v>
      </c>
      <c r="L130" s="329">
        <f>K130+J130</f>
        <v>860</v>
      </c>
      <c r="M130" s="329">
        <f>J130+8*11*5</f>
        <v>640</v>
      </c>
      <c r="N130" s="330">
        <f>J130</f>
        <v>200</v>
      </c>
      <c r="O130" s="125"/>
      <c r="P130" s="125">
        <f>L130/5</f>
        <v>172</v>
      </c>
      <c r="Q130" s="125">
        <f t="shared" ref="Q130:Q132" si="57">M130/5</f>
        <v>128</v>
      </c>
      <c r="R130" s="125">
        <f t="shared" ref="R130:R132" si="58">N130/5</f>
        <v>40</v>
      </c>
      <c r="S130" s="125"/>
      <c r="T130" s="125"/>
      <c r="U130" s="125"/>
      <c r="V130" s="125"/>
      <c r="W130" s="18">
        <f>+L130/5</f>
        <v>172</v>
      </c>
      <c r="Y130" s="11">
        <f>+W130*$Y$2</f>
        <v>1080.1600000000001</v>
      </c>
      <c r="Z130" s="11">
        <f>+ROUND(Y130/$Z$2,2)</f>
        <v>90.01</v>
      </c>
      <c r="AB130" s="36">
        <f>+Z130*$AB$2</f>
        <v>90.01</v>
      </c>
      <c r="AC130" s="37">
        <f>+Z130*$AC$2</f>
        <v>180.02</v>
      </c>
      <c r="AD130" s="37">
        <f>+Z130*$AD$2</f>
        <v>270.03000000000003</v>
      </c>
      <c r="AE130" s="37">
        <f>+Z130*$AE$2</f>
        <v>360.04</v>
      </c>
      <c r="AF130" s="37">
        <f>+Z130*$AF$2</f>
        <v>450.05</v>
      </c>
      <c r="AG130" s="1"/>
      <c r="AH130" s="38">
        <f>+W130/12</f>
        <v>14.333333333333334</v>
      </c>
      <c r="AI130" s="39">
        <f>+AH130*$AI$2</f>
        <v>28.666666666666668</v>
      </c>
      <c r="AJ130" s="39">
        <f>+AH130*$AJ$2</f>
        <v>43</v>
      </c>
      <c r="AK130" s="39">
        <f>+AH130*$AK$2</f>
        <v>57.333333333333336</v>
      </c>
      <c r="AL130" s="40">
        <f>+AH130*$AL$2</f>
        <v>71.666666666666671</v>
      </c>
      <c r="AN130">
        <f t="shared" ref="AN130:AR132" si="59">+AH130*$Z$2</f>
        <v>172</v>
      </c>
      <c r="AO130">
        <f t="shared" si="59"/>
        <v>344</v>
      </c>
      <c r="AP130">
        <f t="shared" si="59"/>
        <v>516</v>
      </c>
      <c r="AQ130">
        <f t="shared" si="59"/>
        <v>688</v>
      </c>
      <c r="AR130">
        <f t="shared" si="59"/>
        <v>860</v>
      </c>
    </row>
    <row r="131" spans="1:44" x14ac:dyDescent="0.2">
      <c r="B131" s="225" t="s">
        <v>10</v>
      </c>
      <c r="C131" s="226"/>
      <c r="D131" s="226">
        <f>D130+D132</f>
        <v>4.5</v>
      </c>
      <c r="E131" s="227">
        <f>E130+E132</f>
        <v>4.5</v>
      </c>
      <c r="F131" s="227">
        <f>F130+F132</f>
        <v>7.25</v>
      </c>
      <c r="G131" s="227">
        <f>G130+G132</f>
        <v>4.5</v>
      </c>
      <c r="H131" s="228">
        <f>H130+H132</f>
        <v>4.5</v>
      </c>
      <c r="I131" s="9"/>
      <c r="J131" s="180">
        <f>J130+J132</f>
        <v>1010</v>
      </c>
      <c r="K131" s="122">
        <f>K130</f>
        <v>660</v>
      </c>
      <c r="L131" s="125">
        <f>K131+J131</f>
        <v>1670</v>
      </c>
      <c r="M131" s="125">
        <f>J131+8*11*5</f>
        <v>1450</v>
      </c>
      <c r="N131" s="217">
        <f>J131</f>
        <v>1010</v>
      </c>
      <c r="O131" s="125"/>
      <c r="P131" s="125">
        <f>L131/5</f>
        <v>334</v>
      </c>
      <c r="Q131" s="125">
        <f t="shared" si="57"/>
        <v>290</v>
      </c>
      <c r="R131" s="125">
        <f t="shared" si="58"/>
        <v>202</v>
      </c>
      <c r="S131" s="125"/>
      <c r="T131" s="125"/>
      <c r="U131" s="125"/>
      <c r="V131" s="125"/>
      <c r="W131" s="18">
        <f>+L131/5</f>
        <v>334</v>
      </c>
      <c r="Y131" s="11">
        <f>+ROUND(W131*$Y$2,2)</f>
        <v>2097.52</v>
      </c>
      <c r="Z131" s="15">
        <f>+ROUND(Y131/$Z$2,2)</f>
        <v>174.79</v>
      </c>
      <c r="AA131" s="16">
        <f>ROUND(+Z131/$AA$2,2)</f>
        <v>87.4</v>
      </c>
      <c r="AB131" s="36">
        <f>+Z131*$AB$2</f>
        <v>174.79</v>
      </c>
      <c r="AC131" s="37">
        <f>+Z131*$AC$2</f>
        <v>349.58</v>
      </c>
      <c r="AD131" s="37">
        <f>+Z131*$AD$2</f>
        <v>524.37</v>
      </c>
      <c r="AE131" s="37">
        <f>+Z131*$AE$2</f>
        <v>699.16</v>
      </c>
      <c r="AF131" s="37">
        <f>+Z131*$AF$2</f>
        <v>873.94999999999993</v>
      </c>
      <c r="AG131" s="1"/>
      <c r="AH131" s="38">
        <f>+W131/12</f>
        <v>27.833333333333332</v>
      </c>
      <c r="AI131" s="39">
        <f t="shared" ref="AI131:AI132" si="60">+AH131*$AI$2</f>
        <v>55.666666666666664</v>
      </c>
      <c r="AJ131" s="39">
        <f t="shared" ref="AJ131:AJ132" si="61">+AH131*$AJ$2</f>
        <v>83.5</v>
      </c>
      <c r="AK131" s="39">
        <f t="shared" ref="AK131:AK132" si="62">+AH131*$AK$2</f>
        <v>111.33333333333333</v>
      </c>
      <c r="AL131" s="40">
        <f t="shared" ref="AL131:AL132" si="63">+AH131*$AL$2</f>
        <v>139.16666666666666</v>
      </c>
      <c r="AN131">
        <f t="shared" si="59"/>
        <v>334</v>
      </c>
      <c r="AO131">
        <f t="shared" si="59"/>
        <v>668</v>
      </c>
      <c r="AP131">
        <f t="shared" si="59"/>
        <v>1002</v>
      </c>
      <c r="AQ131">
        <f t="shared" si="59"/>
        <v>1336</v>
      </c>
      <c r="AR131">
        <f t="shared" si="59"/>
        <v>1670</v>
      </c>
    </row>
    <row r="132" spans="1:44" x14ac:dyDescent="0.2">
      <c r="B132" s="225" t="s">
        <v>11</v>
      </c>
      <c r="C132" s="226"/>
      <c r="D132" s="229">
        <v>3.5</v>
      </c>
      <c r="E132" s="231">
        <v>3.5</v>
      </c>
      <c r="F132" s="227">
        <v>6.25</v>
      </c>
      <c r="G132" s="231">
        <v>3.5</v>
      </c>
      <c r="H132" s="232">
        <v>3.5</v>
      </c>
      <c r="I132" s="9"/>
      <c r="J132" s="180">
        <f>(SUM(D132:I132)*J$11)</f>
        <v>810</v>
      </c>
      <c r="K132" s="122">
        <f>(5*11*K$11)</f>
        <v>660</v>
      </c>
      <c r="L132" s="329">
        <f>K132+J132</f>
        <v>1470</v>
      </c>
      <c r="M132" s="329">
        <f>J132+8*11*5</f>
        <v>1250</v>
      </c>
      <c r="N132" s="330">
        <f>J132</f>
        <v>810</v>
      </c>
      <c r="O132" s="125"/>
      <c r="P132" s="125">
        <f>L132/5</f>
        <v>294</v>
      </c>
      <c r="Q132" s="125">
        <f t="shared" si="57"/>
        <v>250</v>
      </c>
      <c r="R132" s="125">
        <f t="shared" si="58"/>
        <v>162</v>
      </c>
      <c r="S132" s="125"/>
      <c r="T132" s="125"/>
      <c r="U132" s="125"/>
      <c r="V132" s="125"/>
      <c r="W132" s="18">
        <f>+L132/5</f>
        <v>294</v>
      </c>
      <c r="Y132" s="11">
        <f>+W132*$Y$2</f>
        <v>1846.3200000000002</v>
      </c>
      <c r="Z132" s="11">
        <f>+ROUND(Y132/$Z$2,2)</f>
        <v>153.86000000000001</v>
      </c>
      <c r="AB132" s="36">
        <f>+Z132*$AB$2</f>
        <v>153.86000000000001</v>
      </c>
      <c r="AC132" s="37">
        <f>+Z132*$AC$2</f>
        <v>307.72000000000003</v>
      </c>
      <c r="AD132" s="37">
        <f>+Z132*$AD$2</f>
        <v>461.58000000000004</v>
      </c>
      <c r="AE132" s="37">
        <f>+Z132*$AE$2</f>
        <v>615.44000000000005</v>
      </c>
      <c r="AF132" s="37">
        <f>+Z132*$AF$2</f>
        <v>769.30000000000007</v>
      </c>
      <c r="AG132" s="1"/>
      <c r="AH132" s="38">
        <f>+W132/12</f>
        <v>24.5</v>
      </c>
      <c r="AI132" s="39">
        <f t="shared" si="60"/>
        <v>49</v>
      </c>
      <c r="AJ132" s="39">
        <f t="shared" si="61"/>
        <v>73.5</v>
      </c>
      <c r="AK132" s="39">
        <f t="shared" si="62"/>
        <v>98</v>
      </c>
      <c r="AL132" s="40">
        <f t="shared" si="63"/>
        <v>122.5</v>
      </c>
      <c r="AN132">
        <f t="shared" si="59"/>
        <v>294</v>
      </c>
      <c r="AO132">
        <f t="shared" si="59"/>
        <v>588</v>
      </c>
      <c r="AP132">
        <f t="shared" si="59"/>
        <v>882</v>
      </c>
      <c r="AQ132">
        <f t="shared" si="59"/>
        <v>1176</v>
      </c>
      <c r="AR132">
        <f t="shared" si="59"/>
        <v>1470</v>
      </c>
    </row>
    <row r="133" spans="1:44" x14ac:dyDescent="0.2">
      <c r="B133" s="233"/>
      <c r="C133" s="234"/>
      <c r="D133" s="234"/>
      <c r="E133" s="235"/>
      <c r="F133" s="235"/>
      <c r="G133" s="235"/>
      <c r="H133" s="236"/>
      <c r="I133" s="52"/>
      <c r="J133" s="181"/>
      <c r="K133" s="126" t="s">
        <v>13</v>
      </c>
      <c r="L133" s="107">
        <f t="shared" ref="L133" si="64">10%*L130+20%*L131+70%*L132</f>
        <v>1449</v>
      </c>
      <c r="M133" s="107">
        <f>10%*M130+20%*M131+70%*M132</f>
        <v>1229</v>
      </c>
      <c r="N133" s="218">
        <f>10%*N130+20%*N131+70%*N132</f>
        <v>789</v>
      </c>
      <c r="O133" s="122"/>
      <c r="P133" s="122"/>
      <c r="Q133" s="122"/>
      <c r="R133" s="122"/>
      <c r="S133" s="122"/>
      <c r="T133" s="122"/>
      <c r="U133" s="122"/>
      <c r="V133" s="123">
        <f>(R133-L133)/L133</f>
        <v>-1</v>
      </c>
      <c r="AB133" s="7"/>
      <c r="AC133" s="8"/>
      <c r="AD133" s="8"/>
      <c r="AE133" s="8"/>
      <c r="AF133" s="8"/>
      <c r="AG133" s="8"/>
      <c r="AH133" s="8"/>
      <c r="AI133" s="8"/>
      <c r="AJ133" s="8"/>
      <c r="AK133" s="8"/>
      <c r="AL133" s="41"/>
    </row>
    <row r="134" spans="1:44" x14ac:dyDescent="0.2">
      <c r="J134" s="183"/>
      <c r="K134" s="184" t="s">
        <v>103</v>
      </c>
      <c r="L134" s="109">
        <f>(L133-L$8)/L$8</f>
        <v>5.921052631578947E-2</v>
      </c>
      <c r="M134" s="109">
        <f>(M133-L$8)/L$8</f>
        <v>-0.10160818713450293</v>
      </c>
      <c r="N134" s="219">
        <f>(N133-L$8)/L$8</f>
        <v>-0.4232456140350877</v>
      </c>
      <c r="O134" s="123"/>
      <c r="P134" s="123"/>
      <c r="Q134" s="123"/>
      <c r="R134" s="123"/>
      <c r="S134" s="123"/>
      <c r="T134" s="123"/>
      <c r="U134" s="123"/>
      <c r="V134" s="123"/>
    </row>
    <row r="135" spans="1:44" ht="13.5" thickBot="1" x14ac:dyDescent="0.25">
      <c r="E135" s="116"/>
      <c r="F135" s="116"/>
      <c r="G135" s="116"/>
      <c r="H135" s="116"/>
      <c r="I135" s="116"/>
      <c r="J135" s="182"/>
      <c r="K135" s="145" t="s">
        <v>104</v>
      </c>
      <c r="L135" s="145">
        <f>L134</f>
        <v>5.921052631578947E-2</v>
      </c>
      <c r="M135" s="145">
        <f>((M133*(1+Q$10))-$L$8)/$L$8</f>
        <v>-5.6688596491228038E-2</v>
      </c>
      <c r="N135" s="220">
        <f>((N133*(1+R$10))-$L$8)/$L$8</f>
        <v>-0.3540350877192982</v>
      </c>
      <c r="O135" s="123"/>
      <c r="P135" s="123"/>
      <c r="Q135" s="123"/>
      <c r="R135" s="123"/>
      <c r="S135" s="123"/>
      <c r="T135" s="123"/>
      <c r="U135" s="123"/>
      <c r="V135" s="123"/>
    </row>
    <row r="136" spans="1:44" ht="13.5" thickBot="1" x14ac:dyDescent="0.25">
      <c r="O136" s="115"/>
      <c r="P136" s="115"/>
      <c r="Q136" s="115"/>
      <c r="R136" s="115"/>
    </row>
    <row r="137" spans="1:44" x14ac:dyDescent="0.2">
      <c r="A137">
        <v>818</v>
      </c>
      <c r="B137" s="331" t="s">
        <v>147</v>
      </c>
      <c r="C137" s="332"/>
      <c r="D137" s="332"/>
      <c r="E137" s="223"/>
      <c r="F137" s="223"/>
      <c r="G137" s="223"/>
      <c r="H137" s="224"/>
      <c r="I137" s="51"/>
      <c r="J137" s="175"/>
      <c r="K137" s="176"/>
      <c r="L137" s="176"/>
      <c r="M137" s="176"/>
      <c r="N137" s="213"/>
      <c r="O137" s="115"/>
      <c r="P137" s="115"/>
      <c r="Q137" s="115"/>
      <c r="R137" s="115"/>
      <c r="S137" s="115"/>
      <c r="T137" s="115"/>
      <c r="U137" s="115"/>
      <c r="V137" s="115"/>
      <c r="AB137" s="35"/>
      <c r="AC137" s="3"/>
      <c r="AD137" s="3"/>
      <c r="AE137" s="3"/>
      <c r="AF137" s="3"/>
      <c r="AG137" s="3"/>
      <c r="AH137" s="3"/>
      <c r="AI137" s="3"/>
      <c r="AJ137" s="3"/>
      <c r="AK137" s="3"/>
      <c r="AL137" s="4"/>
    </row>
    <row r="138" spans="1:44" x14ac:dyDescent="0.2">
      <c r="B138" s="225"/>
      <c r="C138" s="226"/>
      <c r="D138" s="226"/>
      <c r="E138" s="227"/>
      <c r="F138" s="227"/>
      <c r="G138" s="227"/>
      <c r="H138" s="228"/>
      <c r="I138" s="9"/>
      <c r="J138" s="177"/>
      <c r="K138" s="120"/>
      <c r="L138" s="120"/>
      <c r="M138" s="120"/>
      <c r="N138" s="214"/>
      <c r="O138" s="120"/>
      <c r="P138" s="120"/>
      <c r="Q138" s="120"/>
      <c r="R138" s="120"/>
      <c r="S138" s="120" t="s">
        <v>183</v>
      </c>
      <c r="T138" s="120"/>
      <c r="U138" s="120"/>
      <c r="V138" s="120"/>
      <c r="AB138" s="5"/>
      <c r="AC138" s="1"/>
      <c r="AD138" s="1"/>
      <c r="AE138" s="1"/>
      <c r="AF138" s="1"/>
      <c r="AG138" s="1"/>
      <c r="AH138" s="1"/>
      <c r="AI138" s="1"/>
      <c r="AJ138" s="1"/>
      <c r="AK138" s="1"/>
      <c r="AL138" s="6"/>
    </row>
    <row r="139" spans="1:44" x14ac:dyDescent="0.2">
      <c r="B139" s="225"/>
      <c r="C139" s="226"/>
      <c r="D139" s="229"/>
      <c r="E139" s="229"/>
      <c r="F139" s="229"/>
      <c r="G139" s="229"/>
      <c r="H139" s="230"/>
      <c r="I139" s="9"/>
      <c r="J139" s="178"/>
      <c r="K139" s="119"/>
      <c r="L139" s="139"/>
      <c r="M139" s="139"/>
      <c r="N139" s="215"/>
      <c r="O139" s="119"/>
      <c r="P139" s="119"/>
      <c r="Q139" s="119"/>
      <c r="R139" s="119"/>
      <c r="S139" s="119" t="s">
        <v>184</v>
      </c>
      <c r="T139" s="119"/>
      <c r="U139" s="119"/>
      <c r="V139" s="119"/>
      <c r="AB139" s="5"/>
      <c r="AC139" s="1"/>
      <c r="AD139" s="1"/>
      <c r="AE139" s="1"/>
      <c r="AF139" s="1"/>
      <c r="AG139" s="1"/>
      <c r="AH139" s="1"/>
      <c r="AI139" s="1"/>
      <c r="AJ139" s="1"/>
      <c r="AK139" s="1"/>
      <c r="AL139" s="6"/>
    </row>
    <row r="140" spans="1:44" x14ac:dyDescent="0.2">
      <c r="B140" s="225"/>
      <c r="C140" s="226"/>
      <c r="D140" s="229"/>
      <c r="E140" s="229"/>
      <c r="F140" s="229"/>
      <c r="G140" s="229"/>
      <c r="H140" s="230"/>
      <c r="I140" s="9"/>
      <c r="J140" s="179"/>
      <c r="K140" s="115"/>
      <c r="L140" s="115"/>
      <c r="M140" s="115"/>
      <c r="N140" s="216"/>
      <c r="O140" s="120"/>
      <c r="P140" s="120"/>
      <c r="Q140" s="120"/>
      <c r="R140" s="115"/>
      <c r="S140" s="115" t="s">
        <v>185</v>
      </c>
      <c r="T140" s="115"/>
      <c r="U140" s="115"/>
      <c r="V140" s="115"/>
      <c r="AB140" s="5"/>
      <c r="AC140" s="1"/>
      <c r="AD140" s="1"/>
      <c r="AE140" s="1"/>
      <c r="AF140" s="1"/>
      <c r="AG140" s="1"/>
      <c r="AH140" s="1"/>
      <c r="AI140" s="1"/>
      <c r="AJ140" s="1"/>
      <c r="AK140" s="1"/>
      <c r="AL140" s="6"/>
    </row>
    <row r="141" spans="1:44" x14ac:dyDescent="0.2">
      <c r="B141" s="225"/>
      <c r="C141" s="226"/>
      <c r="D141" s="226"/>
      <c r="E141" s="227"/>
      <c r="F141" s="227"/>
      <c r="G141" s="227"/>
      <c r="H141" s="228"/>
      <c r="I141" s="9"/>
      <c r="J141" s="179"/>
      <c r="K141" s="115"/>
      <c r="L141" s="115"/>
      <c r="M141" s="115"/>
      <c r="N141" s="216"/>
      <c r="O141" s="120"/>
      <c r="P141" s="138"/>
      <c r="Q141" s="120"/>
      <c r="R141" s="138"/>
      <c r="S141" s="138" t="s">
        <v>186</v>
      </c>
      <c r="T141" s="138"/>
      <c r="U141" s="138"/>
      <c r="V141" s="115"/>
      <c r="AB141" s="5"/>
      <c r="AC141" s="1"/>
      <c r="AD141" s="1"/>
      <c r="AE141" s="1"/>
      <c r="AF141" s="1"/>
      <c r="AG141" s="1"/>
      <c r="AH141" s="1"/>
      <c r="AI141" s="1"/>
      <c r="AJ141" s="1"/>
      <c r="AK141" s="1"/>
      <c r="AL141" s="6"/>
    </row>
    <row r="142" spans="1:44" x14ac:dyDescent="0.2">
      <c r="B142" s="225"/>
      <c r="C142" s="226"/>
      <c r="D142" s="226"/>
      <c r="E142" s="227"/>
      <c r="F142" s="227"/>
      <c r="G142" s="227"/>
      <c r="H142" s="228"/>
      <c r="I142" s="9"/>
      <c r="J142" s="180"/>
      <c r="K142" s="122"/>
      <c r="L142" s="125"/>
      <c r="M142" s="125"/>
      <c r="N142" s="217"/>
      <c r="O142" s="125"/>
      <c r="P142" s="125">
        <f>L142/5</f>
        <v>0</v>
      </c>
      <c r="Q142" s="125">
        <f t="shared" ref="Q142:Q144" si="65">M142/5</f>
        <v>0</v>
      </c>
      <c r="R142" s="125">
        <f t="shared" ref="R142:R144" si="66">N142/5</f>
        <v>0</v>
      </c>
      <c r="S142" s="125" t="s">
        <v>187</v>
      </c>
      <c r="T142" s="125"/>
      <c r="U142" s="125"/>
      <c r="V142" s="125"/>
      <c r="W142" s="18">
        <f>+L142/5</f>
        <v>0</v>
      </c>
      <c r="Y142" s="11">
        <f>+W142*$Y$2</f>
        <v>0</v>
      </c>
      <c r="Z142" s="11">
        <f>+ROUND(Y142/$Z$2,2)</f>
        <v>0</v>
      </c>
      <c r="AB142" s="36">
        <f>+Z142*$AB$2</f>
        <v>0</v>
      </c>
      <c r="AC142" s="37">
        <f>+Z142*$AC$2</f>
        <v>0</v>
      </c>
      <c r="AD142" s="37">
        <f>+Z142*$AD$2</f>
        <v>0</v>
      </c>
      <c r="AE142" s="37">
        <f>+Z142*$AE$2</f>
        <v>0</v>
      </c>
      <c r="AF142" s="37">
        <f>+Z142*$AF$2</f>
        <v>0</v>
      </c>
      <c r="AG142" s="1"/>
      <c r="AH142" s="38">
        <f>+W142/12</f>
        <v>0</v>
      </c>
      <c r="AI142" s="39">
        <f>+AH142*$AI$2</f>
        <v>0</v>
      </c>
      <c r="AJ142" s="39">
        <f>+AH142*$AJ$2</f>
        <v>0</v>
      </c>
      <c r="AK142" s="39">
        <f>+AH142*$AK$2</f>
        <v>0</v>
      </c>
      <c r="AL142" s="40">
        <f>+AH142*$AL$2</f>
        <v>0</v>
      </c>
      <c r="AN142">
        <f t="shared" ref="AN142:AR144" si="67">+AH142*$Z$2</f>
        <v>0</v>
      </c>
      <c r="AO142">
        <f t="shared" si="67"/>
        <v>0</v>
      </c>
      <c r="AP142">
        <f t="shared" si="67"/>
        <v>0</v>
      </c>
      <c r="AQ142">
        <f t="shared" si="67"/>
        <v>0</v>
      </c>
      <c r="AR142">
        <f t="shared" si="67"/>
        <v>0</v>
      </c>
    </row>
    <row r="143" spans="1:44" x14ac:dyDescent="0.2">
      <c r="B143" s="225"/>
      <c r="C143" s="226"/>
      <c r="D143" s="226"/>
      <c r="E143" s="227"/>
      <c r="F143" s="262"/>
      <c r="G143" s="227"/>
      <c r="H143" s="228"/>
      <c r="I143" s="9"/>
      <c r="J143" s="180"/>
      <c r="K143" s="122"/>
      <c r="L143" s="125"/>
      <c r="M143" s="125"/>
      <c r="N143" s="217"/>
      <c r="O143" s="125"/>
      <c r="P143" s="125">
        <f>L143/5</f>
        <v>0</v>
      </c>
      <c r="Q143" s="125">
        <f t="shared" si="65"/>
        <v>0</v>
      </c>
      <c r="R143" s="125">
        <f t="shared" si="66"/>
        <v>0</v>
      </c>
      <c r="S143" s="198" t="s">
        <v>188</v>
      </c>
      <c r="T143" s="125"/>
      <c r="U143" s="125"/>
      <c r="V143" s="125"/>
      <c r="W143" s="18">
        <f>+L143/5</f>
        <v>0</v>
      </c>
      <c r="Y143" s="11">
        <f>+W143*$Y$2</f>
        <v>0</v>
      </c>
      <c r="Z143" s="15">
        <f>+ROUND(Y143/$Z$2,2)</f>
        <v>0</v>
      </c>
      <c r="AA143" s="16">
        <f>ROUND(+Z143/$AA$2,2)</f>
        <v>0</v>
      </c>
      <c r="AB143" s="36">
        <f>+Z143*$AB$2</f>
        <v>0</v>
      </c>
      <c r="AC143" s="37">
        <f>+Z143*$AC$2</f>
        <v>0</v>
      </c>
      <c r="AD143" s="37">
        <f>+Z143*$AD$2</f>
        <v>0</v>
      </c>
      <c r="AE143" s="37">
        <f>+Z143*$AE$2</f>
        <v>0</v>
      </c>
      <c r="AF143" s="37">
        <f>+Z143*$AF$2</f>
        <v>0</v>
      </c>
      <c r="AG143" s="1"/>
      <c r="AH143" s="38">
        <f>+W143/12</f>
        <v>0</v>
      </c>
      <c r="AI143" s="39">
        <f t="shared" ref="AI143:AI144" si="68">+AH143*$AI$2</f>
        <v>0</v>
      </c>
      <c r="AJ143" s="39">
        <f t="shared" ref="AJ143:AJ144" si="69">+AH143*$AJ$2</f>
        <v>0</v>
      </c>
      <c r="AK143" s="39">
        <f t="shared" ref="AK143:AK144" si="70">+AH143*$AK$2</f>
        <v>0</v>
      </c>
      <c r="AL143" s="40">
        <f t="shared" ref="AL143:AL144" si="71">+AH143*$AL$2</f>
        <v>0</v>
      </c>
      <c r="AN143">
        <f t="shared" si="67"/>
        <v>0</v>
      </c>
      <c r="AO143">
        <f t="shared" si="67"/>
        <v>0</v>
      </c>
      <c r="AP143">
        <f t="shared" si="67"/>
        <v>0</v>
      </c>
      <c r="AQ143">
        <f t="shared" si="67"/>
        <v>0</v>
      </c>
      <c r="AR143">
        <f t="shared" si="67"/>
        <v>0</v>
      </c>
    </row>
    <row r="144" spans="1:44" x14ac:dyDescent="0.2">
      <c r="B144" s="225"/>
      <c r="C144" s="226"/>
      <c r="D144" s="229"/>
      <c r="E144" s="231"/>
      <c r="F144" s="262"/>
      <c r="G144" s="231"/>
      <c r="H144" s="237"/>
      <c r="I144" s="9"/>
      <c r="J144" s="180"/>
      <c r="K144" s="122"/>
      <c r="L144" s="125"/>
      <c r="M144" s="125"/>
      <c r="N144" s="217"/>
      <c r="O144" s="125"/>
      <c r="P144" s="125">
        <f>L144/5</f>
        <v>0</v>
      </c>
      <c r="Q144" s="125">
        <f t="shared" si="65"/>
        <v>0</v>
      </c>
      <c r="R144" s="125">
        <f t="shared" si="66"/>
        <v>0</v>
      </c>
      <c r="S144" s="198" t="s">
        <v>189</v>
      </c>
      <c r="T144" s="125"/>
      <c r="U144" s="125"/>
      <c r="V144" s="125"/>
      <c r="W144" s="18">
        <f>+L144/5</f>
        <v>0</v>
      </c>
      <c r="Y144" s="11">
        <f>+W144*$Y$2</f>
        <v>0</v>
      </c>
      <c r="Z144" s="11">
        <f>+ROUND(Y144/$Z$2,2)</f>
        <v>0</v>
      </c>
      <c r="AB144" s="36">
        <f>+Z144*$AB$2</f>
        <v>0</v>
      </c>
      <c r="AC144" s="37">
        <f>+Z144*$AC$2</f>
        <v>0</v>
      </c>
      <c r="AD144" s="37">
        <f>+Z144*$AD$2</f>
        <v>0</v>
      </c>
      <c r="AE144" s="37">
        <f>+Z144*$AE$2</f>
        <v>0</v>
      </c>
      <c r="AF144" s="37">
        <f>+Z144*$AF$2</f>
        <v>0</v>
      </c>
      <c r="AG144" s="1"/>
      <c r="AH144" s="38">
        <f>+W144/12</f>
        <v>0</v>
      </c>
      <c r="AI144" s="39">
        <f t="shared" si="68"/>
        <v>0</v>
      </c>
      <c r="AJ144" s="39">
        <f t="shared" si="69"/>
        <v>0</v>
      </c>
      <c r="AK144" s="39">
        <f t="shared" si="70"/>
        <v>0</v>
      </c>
      <c r="AL144" s="40">
        <f t="shared" si="71"/>
        <v>0</v>
      </c>
      <c r="AN144">
        <f t="shared" si="67"/>
        <v>0</v>
      </c>
      <c r="AO144">
        <f t="shared" si="67"/>
        <v>0</v>
      </c>
      <c r="AP144">
        <f t="shared" si="67"/>
        <v>0</v>
      </c>
      <c r="AQ144">
        <f t="shared" si="67"/>
        <v>0</v>
      </c>
      <c r="AR144">
        <f t="shared" si="67"/>
        <v>0</v>
      </c>
    </row>
    <row r="145" spans="2:44" x14ac:dyDescent="0.2">
      <c r="B145" s="233"/>
      <c r="C145" s="234"/>
      <c r="D145" s="234"/>
      <c r="E145" s="235"/>
      <c r="F145" s="235"/>
      <c r="G145" s="235"/>
      <c r="H145" s="236"/>
      <c r="I145" s="52"/>
      <c r="J145" s="181"/>
      <c r="K145" s="126"/>
      <c r="L145" s="107"/>
      <c r="M145" s="107"/>
      <c r="N145" s="218"/>
      <c r="O145" s="122"/>
      <c r="P145" s="122"/>
      <c r="Q145" s="122"/>
      <c r="R145" s="122"/>
      <c r="S145" s="122"/>
      <c r="T145" s="122"/>
      <c r="U145" s="122"/>
      <c r="V145" s="123" t="e">
        <f>(R145-L145)/L145</f>
        <v>#DIV/0!</v>
      </c>
      <c r="AB145" s="7"/>
      <c r="AC145" s="8"/>
      <c r="AD145" s="8"/>
      <c r="AE145" s="8"/>
      <c r="AF145" s="8"/>
      <c r="AG145" s="8"/>
      <c r="AH145" s="8"/>
      <c r="AI145" s="8"/>
      <c r="AJ145" s="8"/>
      <c r="AK145" s="8"/>
      <c r="AL145" s="41"/>
    </row>
    <row r="146" spans="2:44" x14ac:dyDescent="0.2">
      <c r="J146" s="183"/>
      <c r="K146" s="184"/>
      <c r="L146" s="109"/>
      <c r="M146" s="109"/>
      <c r="N146" s="219"/>
      <c r="O146" s="123"/>
      <c r="P146" s="123"/>
      <c r="Q146" s="123"/>
      <c r="R146" s="123"/>
      <c r="S146" s="123"/>
      <c r="T146" s="123"/>
      <c r="U146" s="123"/>
      <c r="V146" s="123"/>
    </row>
    <row r="147" spans="2:44" ht="13.5" thickBot="1" x14ac:dyDescent="0.25">
      <c r="E147" s="116"/>
      <c r="F147" s="116"/>
      <c r="G147" s="116"/>
      <c r="H147" s="116"/>
      <c r="I147" s="116"/>
      <c r="J147" s="182"/>
      <c r="K147" s="145"/>
      <c r="L147" s="145"/>
      <c r="M147" s="145"/>
      <c r="N147" s="220"/>
      <c r="O147" s="123"/>
      <c r="P147" s="123"/>
      <c r="Q147" s="123"/>
      <c r="R147" s="123"/>
      <c r="S147" s="123"/>
      <c r="T147" s="123"/>
      <c r="U147" s="123"/>
      <c r="V147" s="123"/>
    </row>
    <row r="148" spans="2:44" x14ac:dyDescent="0.2">
      <c r="B148" s="221" t="s">
        <v>208</v>
      </c>
      <c r="C148" s="222"/>
      <c r="D148" s="222"/>
      <c r="E148" s="338" t="s">
        <v>250</v>
      </c>
      <c r="F148" s="223"/>
      <c r="G148" s="223"/>
      <c r="H148" s="224"/>
      <c r="I148" s="118"/>
      <c r="J148" s="175"/>
      <c r="K148" s="176"/>
      <c r="L148" s="176"/>
      <c r="M148" s="176"/>
      <c r="N148" s="213"/>
      <c r="O148" s="115"/>
      <c r="P148" s="115"/>
      <c r="Q148" s="115"/>
      <c r="R148" s="115"/>
      <c r="S148" s="115"/>
      <c r="T148" s="115"/>
      <c r="U148" s="115"/>
      <c r="V148" s="115"/>
      <c r="AB148" s="35"/>
      <c r="AC148" s="3"/>
      <c r="AD148" s="3"/>
      <c r="AE148" s="3"/>
      <c r="AF148" s="3"/>
      <c r="AG148" s="3"/>
      <c r="AH148" s="3"/>
      <c r="AI148" s="3"/>
      <c r="AJ148" s="3"/>
      <c r="AK148" s="3"/>
      <c r="AL148" s="4"/>
    </row>
    <row r="149" spans="2:44" x14ac:dyDescent="0.2">
      <c r="B149" s="225"/>
      <c r="C149" s="226"/>
      <c r="D149" s="226" t="s">
        <v>2</v>
      </c>
      <c r="E149" s="227" t="s">
        <v>3</v>
      </c>
      <c r="F149" s="227" t="s">
        <v>4</v>
      </c>
      <c r="G149" s="227" t="s">
        <v>5</v>
      </c>
      <c r="H149" s="228" t="s">
        <v>6</v>
      </c>
      <c r="I149" s="115"/>
      <c r="J149" s="177" t="s">
        <v>47</v>
      </c>
      <c r="K149" s="120" t="s">
        <v>48</v>
      </c>
      <c r="L149" s="120" t="s">
        <v>12</v>
      </c>
      <c r="M149" s="120" t="s">
        <v>12</v>
      </c>
      <c r="N149" s="214" t="s">
        <v>12</v>
      </c>
      <c r="O149" s="120"/>
      <c r="P149" s="120"/>
      <c r="Q149" s="120"/>
      <c r="R149" s="120"/>
      <c r="S149" s="120" t="s">
        <v>204</v>
      </c>
      <c r="T149" s="120"/>
      <c r="U149" s="120"/>
      <c r="V149" s="120"/>
      <c r="AB149" s="5"/>
      <c r="AC149" s="1"/>
      <c r="AD149" s="1"/>
      <c r="AE149" s="1"/>
      <c r="AF149" s="1"/>
      <c r="AG149" s="1"/>
      <c r="AH149" s="1"/>
      <c r="AI149" s="1"/>
      <c r="AJ149" s="1"/>
      <c r="AK149" s="1"/>
      <c r="AL149" s="6"/>
    </row>
    <row r="150" spans="2:44" ht="25.5" x14ac:dyDescent="0.2">
      <c r="B150" s="225" t="s">
        <v>0</v>
      </c>
      <c r="C150" s="226" t="s">
        <v>49</v>
      </c>
      <c r="D150" s="229" t="s">
        <v>207</v>
      </c>
      <c r="E150" s="229" t="s">
        <v>207</v>
      </c>
      <c r="F150" s="229" t="s">
        <v>203</v>
      </c>
      <c r="G150" s="229" t="s">
        <v>207</v>
      </c>
      <c r="H150" s="229" t="s">
        <v>207</v>
      </c>
      <c r="I150" s="115"/>
      <c r="J150" s="178" t="s">
        <v>46</v>
      </c>
      <c r="K150" s="119" t="s">
        <v>46</v>
      </c>
      <c r="L150" s="139" t="s">
        <v>97</v>
      </c>
      <c r="M150" s="139" t="s">
        <v>46</v>
      </c>
      <c r="N150" s="215" t="s">
        <v>46</v>
      </c>
      <c r="O150" s="119"/>
      <c r="P150" s="119"/>
      <c r="Q150" s="119"/>
      <c r="R150" s="119"/>
      <c r="S150" s="119" t="s">
        <v>197</v>
      </c>
      <c r="T150" s="119"/>
      <c r="U150" s="119"/>
      <c r="V150" s="119"/>
      <c r="AB150" s="5"/>
      <c r="AC150" s="1"/>
      <c r="AD150" s="1"/>
      <c r="AE150" s="1"/>
      <c r="AF150" s="1"/>
      <c r="AG150" s="1"/>
      <c r="AH150" s="1"/>
      <c r="AI150" s="1"/>
      <c r="AJ150" s="1"/>
      <c r="AK150" s="1"/>
      <c r="AL150" s="6"/>
    </row>
    <row r="151" spans="2:44" ht="25.5" x14ac:dyDescent="0.2">
      <c r="B151" s="225" t="s">
        <v>1</v>
      </c>
      <c r="C151" s="226" t="s">
        <v>50</v>
      </c>
      <c r="D151" s="229" t="s">
        <v>207</v>
      </c>
      <c r="E151" s="229" t="s">
        <v>207</v>
      </c>
      <c r="F151" s="229" t="s">
        <v>203</v>
      </c>
      <c r="G151" s="229" t="s">
        <v>207</v>
      </c>
      <c r="H151" s="229" t="s">
        <v>207</v>
      </c>
      <c r="I151" s="115"/>
      <c r="J151" s="179"/>
      <c r="K151" s="115"/>
      <c r="L151" s="115" t="s">
        <v>90</v>
      </c>
      <c r="M151" s="115" t="s">
        <v>120</v>
      </c>
      <c r="N151" s="216" t="s">
        <v>95</v>
      </c>
      <c r="O151" s="120"/>
      <c r="P151" s="120"/>
      <c r="Q151" s="120"/>
      <c r="R151" s="115"/>
      <c r="S151" s="115" t="s">
        <v>198</v>
      </c>
      <c r="T151" s="115"/>
      <c r="U151" s="115"/>
      <c r="V151" s="115"/>
      <c r="AB151" s="5"/>
      <c r="AC151" s="1"/>
      <c r="AD151" s="1"/>
      <c r="AE151" s="1"/>
      <c r="AF151" s="1"/>
      <c r="AG151" s="1"/>
      <c r="AH151" s="1"/>
      <c r="AI151" s="1"/>
      <c r="AJ151" s="1"/>
      <c r="AK151" s="1"/>
      <c r="AL151" s="6"/>
    </row>
    <row r="152" spans="2:44" x14ac:dyDescent="0.2">
      <c r="B152" s="225"/>
      <c r="C152" s="226"/>
      <c r="D152" s="226"/>
      <c r="E152" s="227"/>
      <c r="F152" s="227"/>
      <c r="G152" s="227"/>
      <c r="H152" s="228"/>
      <c r="I152" s="115"/>
      <c r="J152" s="179"/>
      <c r="K152" s="115"/>
      <c r="L152" s="115"/>
      <c r="M152" s="115"/>
      <c r="N152" s="216"/>
      <c r="O152" s="120"/>
      <c r="P152" s="138"/>
      <c r="Q152" s="120"/>
      <c r="R152" s="138"/>
      <c r="S152" s="138" t="s">
        <v>199</v>
      </c>
      <c r="T152" s="138"/>
      <c r="U152" s="138"/>
      <c r="V152" s="115"/>
      <c r="AB152" s="5"/>
      <c r="AC152" s="1"/>
      <c r="AD152" s="1"/>
      <c r="AE152" s="1"/>
      <c r="AF152" s="1"/>
      <c r="AG152" s="1"/>
      <c r="AH152" s="1"/>
      <c r="AI152" s="1"/>
      <c r="AJ152" s="1"/>
      <c r="AK152" s="1"/>
      <c r="AL152" s="6"/>
    </row>
    <row r="153" spans="2:44" x14ac:dyDescent="0.2">
      <c r="B153" s="225" t="s">
        <v>9</v>
      </c>
      <c r="C153" s="226"/>
      <c r="D153" s="226">
        <v>1.25</v>
      </c>
      <c r="E153" s="226">
        <v>1.25</v>
      </c>
      <c r="F153" s="227">
        <v>1.25</v>
      </c>
      <c r="G153" s="227">
        <v>1.25</v>
      </c>
      <c r="H153" s="228">
        <v>1.25</v>
      </c>
      <c r="I153" s="115"/>
      <c r="J153" s="180">
        <f>(SUM(D153:I153)*J$11)</f>
        <v>250</v>
      </c>
      <c r="K153" s="122">
        <f>(5*11*K$11)</f>
        <v>660</v>
      </c>
      <c r="L153" s="329">
        <f>K153+J153</f>
        <v>910</v>
      </c>
      <c r="M153" s="329">
        <f>J153+8*11*5</f>
        <v>690</v>
      </c>
      <c r="N153" s="330">
        <f>J153</f>
        <v>250</v>
      </c>
      <c r="O153" s="125"/>
      <c r="P153" s="125">
        <f>L153/5</f>
        <v>182</v>
      </c>
      <c r="Q153" s="125">
        <f t="shared" ref="Q153:Q155" si="72">M153/5</f>
        <v>138</v>
      </c>
      <c r="R153" s="125">
        <f t="shared" ref="R153:R155" si="73">N153/5</f>
        <v>50</v>
      </c>
      <c r="S153" s="198" t="s">
        <v>200</v>
      </c>
      <c r="T153" s="125"/>
      <c r="U153" s="125"/>
      <c r="V153" s="125"/>
      <c r="W153" s="18">
        <f>+L153/5</f>
        <v>182</v>
      </c>
      <c r="Y153" s="11">
        <f>+W153*$Y$2</f>
        <v>1142.96</v>
      </c>
      <c r="Z153" s="11">
        <f>+ROUND(Y153/$Z$2,2)</f>
        <v>95.25</v>
      </c>
      <c r="AB153" s="36">
        <f>+Z153*$AB$2</f>
        <v>95.25</v>
      </c>
      <c r="AC153" s="37">
        <f>+Z153*$AC$2</f>
        <v>190.5</v>
      </c>
      <c r="AD153" s="37">
        <f>+Z153*$AD$2</f>
        <v>285.75</v>
      </c>
      <c r="AE153" s="37">
        <f>+Z153*$AE$2</f>
        <v>381</v>
      </c>
      <c r="AF153" s="37">
        <f>+Z153*$AF$2</f>
        <v>476.25</v>
      </c>
      <c r="AG153" s="1"/>
      <c r="AH153" s="38">
        <f>+W153/12</f>
        <v>15.166666666666666</v>
      </c>
      <c r="AI153" s="39">
        <f>+AH153*$AI$2</f>
        <v>30.333333333333332</v>
      </c>
      <c r="AJ153" s="39">
        <f>+AH153*$AJ$2</f>
        <v>45.5</v>
      </c>
      <c r="AK153" s="39">
        <f>+AH153*$AK$2</f>
        <v>60.666666666666664</v>
      </c>
      <c r="AL153" s="40">
        <f>+AH153*$AL$2</f>
        <v>75.833333333333329</v>
      </c>
      <c r="AN153">
        <f t="shared" ref="AN153:AN155" si="74">+AH153*$Z$2</f>
        <v>182</v>
      </c>
      <c r="AO153">
        <f t="shared" ref="AO153:AO155" si="75">+AI153*$Z$2</f>
        <v>364</v>
      </c>
      <c r="AP153">
        <f t="shared" ref="AP153:AP155" si="76">+AJ153*$Z$2</f>
        <v>546</v>
      </c>
      <c r="AQ153">
        <f t="shared" ref="AQ153:AQ155" si="77">+AK153*$Z$2</f>
        <v>728</v>
      </c>
      <c r="AR153">
        <f t="shared" ref="AR153:AR155" si="78">+AL153*$Z$2</f>
        <v>910</v>
      </c>
    </row>
    <row r="154" spans="2:44" x14ac:dyDescent="0.2">
      <c r="B154" s="225" t="s">
        <v>10</v>
      </c>
      <c r="C154" s="226"/>
      <c r="D154" s="226">
        <f>D153+D155</f>
        <v>4.5</v>
      </c>
      <c r="E154" s="227">
        <f>E153+E155</f>
        <v>4.5</v>
      </c>
      <c r="F154" s="227">
        <f>F153+F155</f>
        <v>7.5</v>
      </c>
      <c r="G154" s="227">
        <f>G153+G155</f>
        <v>4.5</v>
      </c>
      <c r="H154" s="228">
        <f>H153+H155</f>
        <v>4.5</v>
      </c>
      <c r="I154" s="115"/>
      <c r="J154" s="180">
        <f>J153+J155</f>
        <v>1020</v>
      </c>
      <c r="K154" s="122">
        <f>K153</f>
        <v>660</v>
      </c>
      <c r="L154" s="125">
        <f>K154+J154</f>
        <v>1680</v>
      </c>
      <c r="M154" s="125">
        <f>J154+8*11*5</f>
        <v>1460</v>
      </c>
      <c r="N154" s="217">
        <f>J154</f>
        <v>1020</v>
      </c>
      <c r="O154" s="125"/>
      <c r="P154" s="125">
        <f>L154/5</f>
        <v>336</v>
      </c>
      <c r="Q154" s="125">
        <f t="shared" si="72"/>
        <v>292</v>
      </c>
      <c r="R154" s="125">
        <f t="shared" si="73"/>
        <v>204</v>
      </c>
      <c r="S154" s="198" t="s">
        <v>201</v>
      </c>
      <c r="T154" s="125"/>
      <c r="U154" s="125"/>
      <c r="V154" s="125"/>
      <c r="W154" s="18">
        <f>+L154/5</f>
        <v>336</v>
      </c>
      <c r="Y154" s="11">
        <f>+W154*$Y$2</f>
        <v>2110.08</v>
      </c>
      <c r="Z154" s="15">
        <f>+ROUND(Y154/$Z$2,2)</f>
        <v>175.84</v>
      </c>
      <c r="AA154" s="16">
        <f>ROUND(+Z154/$AA$2,2)</f>
        <v>87.92</v>
      </c>
      <c r="AB154" s="36">
        <f>+Z154*$AB$2</f>
        <v>175.84</v>
      </c>
      <c r="AC154" s="37">
        <f>+Z154*$AC$2</f>
        <v>351.68</v>
      </c>
      <c r="AD154" s="37">
        <f>+Z154*$AD$2</f>
        <v>527.52</v>
      </c>
      <c r="AE154" s="37">
        <f>+Z154*$AE$2</f>
        <v>703.36</v>
      </c>
      <c r="AF154" s="37">
        <f>+Z154*$AF$2</f>
        <v>879.2</v>
      </c>
      <c r="AG154" s="1"/>
      <c r="AH154" s="38">
        <f>+W154/12</f>
        <v>28</v>
      </c>
      <c r="AI154" s="39">
        <f t="shared" ref="AI154:AI155" si="79">+AH154*$AI$2</f>
        <v>56</v>
      </c>
      <c r="AJ154" s="39">
        <f t="shared" ref="AJ154:AJ155" si="80">+AH154*$AJ$2</f>
        <v>84</v>
      </c>
      <c r="AK154" s="39">
        <f t="shared" ref="AK154:AK155" si="81">+AH154*$AK$2</f>
        <v>112</v>
      </c>
      <c r="AL154" s="40">
        <f t="shared" ref="AL154:AL155" si="82">+AH154*$AL$2</f>
        <v>140</v>
      </c>
      <c r="AN154">
        <f t="shared" si="74"/>
        <v>336</v>
      </c>
      <c r="AO154">
        <f t="shared" si="75"/>
        <v>672</v>
      </c>
      <c r="AP154">
        <f t="shared" si="76"/>
        <v>1008</v>
      </c>
      <c r="AQ154">
        <f t="shared" si="77"/>
        <v>1344</v>
      </c>
      <c r="AR154">
        <f t="shared" si="78"/>
        <v>1680</v>
      </c>
    </row>
    <row r="155" spans="2:44" x14ac:dyDescent="0.2">
      <c r="B155" s="225" t="s">
        <v>11</v>
      </c>
      <c r="C155" s="226"/>
      <c r="D155" s="229">
        <v>3.25</v>
      </c>
      <c r="E155" s="229">
        <v>3.25</v>
      </c>
      <c r="F155" s="227">
        <v>6.25</v>
      </c>
      <c r="G155" s="231">
        <v>3.25</v>
      </c>
      <c r="H155" s="237">
        <v>3.25</v>
      </c>
      <c r="I155" s="115"/>
      <c r="J155" s="180">
        <f>(SUM(D155:I155)*J$11)</f>
        <v>770</v>
      </c>
      <c r="K155" s="122">
        <f>(5*11*K$11)</f>
        <v>660</v>
      </c>
      <c r="L155" s="329">
        <f>K155+J155</f>
        <v>1430</v>
      </c>
      <c r="M155" s="329">
        <f>J155+8*11*5</f>
        <v>1210</v>
      </c>
      <c r="N155" s="330">
        <f>J155</f>
        <v>770</v>
      </c>
      <c r="O155" s="125"/>
      <c r="P155" s="125">
        <f>L155/5</f>
        <v>286</v>
      </c>
      <c r="Q155" s="125">
        <f t="shared" si="72"/>
        <v>242</v>
      </c>
      <c r="R155" s="125">
        <f t="shared" si="73"/>
        <v>154</v>
      </c>
      <c r="S155" s="198" t="s">
        <v>202</v>
      </c>
      <c r="T155" s="125"/>
      <c r="U155" s="125"/>
      <c r="V155" s="125"/>
      <c r="W155" s="18">
        <f>+L155/5</f>
        <v>286</v>
      </c>
      <c r="Y155" s="11">
        <f>+W155*$Y$2</f>
        <v>1796.0800000000002</v>
      </c>
      <c r="Z155" s="11">
        <f>+ROUND(Y155/$Z$2,2)</f>
        <v>149.66999999999999</v>
      </c>
      <c r="AB155" s="36">
        <f>+Z155*$AB$2</f>
        <v>149.66999999999999</v>
      </c>
      <c r="AC155" s="37">
        <f>+Z155*$AC$2</f>
        <v>299.33999999999997</v>
      </c>
      <c r="AD155" s="37">
        <f>+Z155*$AD$2</f>
        <v>449.01</v>
      </c>
      <c r="AE155" s="37">
        <f>+Z155*$AE$2</f>
        <v>598.67999999999995</v>
      </c>
      <c r="AF155" s="37">
        <f>+Z155*$AF$2</f>
        <v>748.34999999999991</v>
      </c>
      <c r="AG155" s="1"/>
      <c r="AH155" s="38">
        <f>+W155/12</f>
        <v>23.833333333333332</v>
      </c>
      <c r="AI155" s="39">
        <f t="shared" si="79"/>
        <v>47.666666666666664</v>
      </c>
      <c r="AJ155" s="39">
        <f t="shared" si="80"/>
        <v>71.5</v>
      </c>
      <c r="AK155" s="39">
        <f t="shared" si="81"/>
        <v>95.333333333333329</v>
      </c>
      <c r="AL155" s="40">
        <f t="shared" si="82"/>
        <v>119.16666666666666</v>
      </c>
      <c r="AN155">
        <f t="shared" si="74"/>
        <v>286</v>
      </c>
      <c r="AO155">
        <f t="shared" si="75"/>
        <v>572</v>
      </c>
      <c r="AP155">
        <f t="shared" si="76"/>
        <v>858</v>
      </c>
      <c r="AQ155">
        <f t="shared" si="77"/>
        <v>1144</v>
      </c>
      <c r="AR155">
        <f t="shared" si="78"/>
        <v>1430</v>
      </c>
    </row>
    <row r="156" spans="2:44" x14ac:dyDescent="0.2">
      <c r="B156" s="233"/>
      <c r="C156" s="234"/>
      <c r="D156" s="234"/>
      <c r="E156" s="235"/>
      <c r="F156" s="235"/>
      <c r="G156" s="235"/>
      <c r="H156" s="236"/>
      <c r="I156" s="52"/>
      <c r="J156" s="181"/>
      <c r="K156" s="126" t="s">
        <v>13</v>
      </c>
      <c r="L156" s="107">
        <f t="shared" ref="L156" si="83">10%*L153+20%*L154+70%*L155</f>
        <v>1428</v>
      </c>
      <c r="M156" s="107">
        <f>10%*M153+20%*M154+70%*M155</f>
        <v>1208</v>
      </c>
      <c r="N156" s="218">
        <f>10%*N153+20%*N154+70%*N155</f>
        <v>768</v>
      </c>
      <c r="O156" s="122"/>
      <c r="P156" s="122"/>
      <c r="Q156" s="122"/>
      <c r="R156" s="122"/>
      <c r="S156" s="247" t="s">
        <v>205</v>
      </c>
      <c r="T156" s="122"/>
      <c r="U156" s="122"/>
      <c r="V156" s="123">
        <f>(R156-L156)/L156</f>
        <v>-1</v>
      </c>
      <c r="AB156" s="7"/>
      <c r="AC156" s="8"/>
      <c r="AD156" s="8"/>
      <c r="AE156" s="8"/>
      <c r="AF156" s="8"/>
      <c r="AG156" s="8"/>
      <c r="AH156" s="8"/>
      <c r="AI156" s="8"/>
      <c r="AJ156" s="8"/>
      <c r="AK156" s="8"/>
      <c r="AL156" s="41"/>
    </row>
    <row r="157" spans="2:44" x14ac:dyDescent="0.2">
      <c r="E157" s="116"/>
      <c r="F157" s="116"/>
      <c r="G157" s="116"/>
      <c r="H157" s="116"/>
      <c r="I157" s="116"/>
      <c r="J157" s="183"/>
      <c r="K157" s="184" t="s">
        <v>103</v>
      </c>
      <c r="L157" s="109">
        <f>(L156-L$8)/L$8</f>
        <v>4.3859649122807015E-2</v>
      </c>
      <c r="M157" s="109">
        <f>(M156-L$8)/L$8</f>
        <v>-0.11695906432748537</v>
      </c>
      <c r="N157" s="219">
        <f>(N156-L$8)/L$8</f>
        <v>-0.43859649122807015</v>
      </c>
      <c r="O157" s="123"/>
      <c r="P157" s="123"/>
      <c r="Q157" s="123"/>
      <c r="R157" s="123"/>
      <c r="S157" s="121" t="s">
        <v>206</v>
      </c>
      <c r="T157" s="123"/>
      <c r="U157" s="123"/>
      <c r="V157" s="123"/>
    </row>
    <row r="158" spans="2:44" ht="13.5" thickBot="1" x14ac:dyDescent="0.25">
      <c r="B158" t="s">
        <v>9</v>
      </c>
      <c r="E158" s="116"/>
      <c r="F158" s="116"/>
      <c r="G158" s="116"/>
      <c r="H158" s="116"/>
      <c r="I158" s="116"/>
      <c r="J158" s="182"/>
      <c r="K158" s="145" t="s">
        <v>104</v>
      </c>
      <c r="L158" s="145">
        <f>L157</f>
        <v>4.3859649122807015E-2</v>
      </c>
      <c r="M158" s="145">
        <f>((M156*(1+Q$10))-$L$8)/$L$8</f>
        <v>-7.2807017543859584E-2</v>
      </c>
      <c r="N158" s="220">
        <f>((N156*(1+R$10))-$L$8)/$L$8</f>
        <v>-0.37122807017543852</v>
      </c>
      <c r="O158" s="123"/>
      <c r="P158" s="123"/>
      <c r="Q158" s="123"/>
      <c r="R158" s="123"/>
      <c r="S158" s="123"/>
      <c r="T158" s="123"/>
      <c r="U158" s="123"/>
      <c r="V158" s="123"/>
    </row>
    <row r="160" spans="2:44" ht="13.5" thickBot="1" x14ac:dyDescent="0.25"/>
    <row r="161" spans="2:14" x14ac:dyDescent="0.2">
      <c r="B161" s="331" t="s">
        <v>209</v>
      </c>
      <c r="C161" s="332"/>
      <c r="D161" s="332"/>
      <c r="E161" s="223"/>
      <c r="F161" s="223"/>
      <c r="G161" s="223"/>
      <c r="H161" s="224"/>
      <c r="I161" s="118"/>
      <c r="J161" s="175"/>
      <c r="K161" s="176"/>
      <c r="L161" s="176"/>
      <c r="M161" s="176"/>
      <c r="N161" s="213"/>
    </row>
    <row r="162" spans="2:14" x14ac:dyDescent="0.2">
      <c r="B162" s="225"/>
      <c r="C162" s="226"/>
      <c r="D162" s="226" t="s">
        <v>2</v>
      </c>
      <c r="E162" s="227" t="s">
        <v>3</v>
      </c>
      <c r="F162" s="227" t="s">
        <v>4</v>
      </c>
      <c r="G162" s="227" t="s">
        <v>5</v>
      </c>
      <c r="H162" s="228" t="s">
        <v>6</v>
      </c>
      <c r="I162" s="115"/>
      <c r="J162" s="177" t="s">
        <v>47</v>
      </c>
      <c r="K162" s="120" t="s">
        <v>48</v>
      </c>
      <c r="L162" s="120" t="s">
        <v>12</v>
      </c>
      <c r="M162" s="120" t="s">
        <v>12</v>
      </c>
      <c r="N162" s="214" t="s">
        <v>12</v>
      </c>
    </row>
    <row r="163" spans="2:14" x14ac:dyDescent="0.2">
      <c r="B163" s="225"/>
      <c r="C163" s="226"/>
      <c r="D163" s="229"/>
      <c r="E163" s="229"/>
      <c r="F163" s="229"/>
      <c r="G163" s="229"/>
      <c r="H163" s="230"/>
      <c r="I163" s="115"/>
      <c r="J163" s="178"/>
      <c r="K163" s="119"/>
      <c r="L163" s="139"/>
      <c r="M163" s="139"/>
      <c r="N163" s="215"/>
    </row>
    <row r="164" spans="2:14" x14ac:dyDescent="0.2">
      <c r="B164" s="225"/>
      <c r="C164" s="226"/>
      <c r="D164" s="229"/>
      <c r="E164" s="229"/>
      <c r="F164" s="229"/>
      <c r="G164" s="229"/>
      <c r="H164" s="230"/>
      <c r="I164" s="115"/>
      <c r="J164" s="179"/>
      <c r="K164" s="115"/>
      <c r="L164" s="115"/>
      <c r="M164" s="115"/>
      <c r="N164" s="216"/>
    </row>
    <row r="165" spans="2:14" x14ac:dyDescent="0.2">
      <c r="B165" s="225"/>
      <c r="C165" s="226"/>
      <c r="D165" s="226"/>
      <c r="E165" s="227"/>
      <c r="F165" s="227"/>
      <c r="G165" s="227"/>
      <c r="H165" s="228"/>
      <c r="I165" s="115"/>
      <c r="J165" s="179"/>
      <c r="K165" s="115"/>
      <c r="L165" s="115"/>
      <c r="M165" s="115"/>
      <c r="N165" s="216"/>
    </row>
    <row r="166" spans="2:14" x14ac:dyDescent="0.2">
      <c r="B166" s="225"/>
      <c r="C166" s="226"/>
      <c r="D166" s="226"/>
      <c r="E166" s="226"/>
      <c r="F166" s="227"/>
      <c r="G166" s="227"/>
      <c r="H166" s="228"/>
      <c r="I166" s="115"/>
      <c r="J166" s="180"/>
      <c r="K166" s="122"/>
      <c r="L166" s="125"/>
      <c r="M166" s="125"/>
      <c r="N166" s="217"/>
    </row>
    <row r="167" spans="2:14" x14ac:dyDescent="0.2">
      <c r="B167" s="225"/>
      <c r="C167" s="226"/>
      <c r="D167" s="226"/>
      <c r="E167" s="227"/>
      <c r="F167" s="227"/>
      <c r="G167" s="227"/>
      <c r="H167" s="228"/>
      <c r="I167" s="115"/>
      <c r="J167" s="180"/>
      <c r="K167" s="122"/>
      <c r="L167" s="125"/>
      <c r="M167" s="125"/>
      <c r="N167" s="217"/>
    </row>
    <row r="168" spans="2:14" x14ac:dyDescent="0.2">
      <c r="B168" s="225"/>
      <c r="C168" s="226"/>
      <c r="D168" s="229"/>
      <c r="E168" s="229"/>
      <c r="F168" s="227"/>
      <c r="G168" s="231"/>
      <c r="H168" s="237"/>
      <c r="I168" s="115"/>
      <c r="J168" s="180"/>
      <c r="K168" s="122"/>
      <c r="L168" s="125"/>
      <c r="M168" s="125"/>
      <c r="N168" s="217"/>
    </row>
    <row r="169" spans="2:14" x14ac:dyDescent="0.2">
      <c r="B169" s="233"/>
      <c r="C169" s="234"/>
      <c r="D169" s="234"/>
      <c r="E169" s="235"/>
      <c r="F169" s="235"/>
      <c r="G169" s="235"/>
      <c r="H169" s="236"/>
      <c r="I169" s="52"/>
      <c r="J169" s="181"/>
      <c r="K169" s="126"/>
      <c r="L169" s="107"/>
      <c r="M169" s="107"/>
      <c r="N169" s="218"/>
    </row>
    <row r="170" spans="2:14" x14ac:dyDescent="0.2">
      <c r="E170" s="116"/>
      <c r="F170" s="116"/>
      <c r="G170" s="116"/>
      <c r="H170" s="116"/>
      <c r="I170" s="116"/>
      <c r="J170" s="183"/>
      <c r="K170" s="184"/>
      <c r="L170" s="109"/>
      <c r="M170" s="109"/>
      <c r="N170" s="219"/>
    </row>
    <row r="171" spans="2:14" ht="13.5" thickBot="1" x14ac:dyDescent="0.25">
      <c r="B171" t="s">
        <v>9</v>
      </c>
      <c r="E171" s="116"/>
      <c r="F171" s="116"/>
      <c r="G171" s="116"/>
      <c r="H171" s="116"/>
      <c r="I171" s="116"/>
      <c r="J171" s="182"/>
      <c r="K171" s="145"/>
      <c r="L171" s="145"/>
      <c r="M171" s="145"/>
      <c r="N171" s="220"/>
    </row>
    <row r="173" spans="2:14" ht="13.5" thickBot="1" x14ac:dyDescent="0.25"/>
    <row r="174" spans="2:14" x14ac:dyDescent="0.2">
      <c r="B174" s="331" t="s">
        <v>213</v>
      </c>
      <c r="C174" s="332"/>
      <c r="D174" s="332"/>
      <c r="E174" s="223"/>
      <c r="F174" s="223"/>
      <c r="G174" s="223"/>
      <c r="H174" s="224"/>
      <c r="I174" s="118"/>
      <c r="J174" s="175"/>
      <c r="K174" s="176"/>
      <c r="L174" s="176"/>
      <c r="M174" s="176"/>
      <c r="N174" s="213"/>
    </row>
    <row r="175" spans="2:14" x14ac:dyDescent="0.2">
      <c r="B175" s="225"/>
      <c r="C175" s="226"/>
      <c r="D175" s="226" t="s">
        <v>2</v>
      </c>
      <c r="E175" s="227" t="s">
        <v>3</v>
      </c>
      <c r="F175" s="227" t="s">
        <v>4</v>
      </c>
      <c r="G175" s="227" t="s">
        <v>5</v>
      </c>
      <c r="H175" s="228" t="s">
        <v>6</v>
      </c>
      <c r="I175" s="115"/>
      <c r="J175" s="177" t="s">
        <v>47</v>
      </c>
      <c r="K175" s="120" t="s">
        <v>48</v>
      </c>
      <c r="L175" s="120" t="s">
        <v>12</v>
      </c>
      <c r="M175" s="120" t="s">
        <v>12</v>
      </c>
      <c r="N175" s="214" t="s">
        <v>12</v>
      </c>
    </row>
    <row r="176" spans="2:14" x14ac:dyDescent="0.2">
      <c r="B176" s="225"/>
      <c r="C176" s="226"/>
      <c r="D176" s="229"/>
      <c r="E176" s="229"/>
      <c r="F176" s="229"/>
      <c r="G176" s="229"/>
      <c r="H176" s="230"/>
      <c r="I176" s="115"/>
      <c r="J176" s="178"/>
      <c r="K176" s="119"/>
      <c r="L176" s="139"/>
      <c r="M176" s="139"/>
      <c r="N176" s="215"/>
    </row>
    <row r="177" spans="2:14" x14ac:dyDescent="0.2">
      <c r="B177" s="225"/>
      <c r="C177" s="226"/>
      <c r="D177" s="229"/>
      <c r="E177" s="229"/>
      <c r="F177" s="229"/>
      <c r="G177" s="229"/>
      <c r="H177" s="230"/>
      <c r="I177" s="115"/>
      <c r="J177" s="179"/>
      <c r="K177" s="115"/>
      <c r="L177" s="115"/>
      <c r="M177" s="115"/>
      <c r="N177" s="216"/>
    </row>
    <row r="178" spans="2:14" x14ac:dyDescent="0.2">
      <c r="B178" s="225"/>
      <c r="C178" s="226"/>
      <c r="D178" s="226"/>
      <c r="E178" s="227"/>
      <c r="F178" s="227"/>
      <c r="G178" s="227"/>
      <c r="H178" s="228"/>
      <c r="I178" s="115"/>
      <c r="J178" s="179"/>
      <c r="K178" s="115"/>
      <c r="L178" s="115"/>
      <c r="M178" s="115"/>
      <c r="N178" s="216"/>
    </row>
    <row r="179" spans="2:14" x14ac:dyDescent="0.2">
      <c r="B179" s="225"/>
      <c r="C179" s="226"/>
      <c r="D179" s="226"/>
      <c r="E179" s="226"/>
      <c r="F179" s="227"/>
      <c r="G179" s="227"/>
      <c r="H179" s="228"/>
      <c r="I179" s="115"/>
      <c r="J179" s="180"/>
      <c r="K179" s="122"/>
      <c r="L179" s="125"/>
      <c r="M179" s="125"/>
      <c r="N179" s="217"/>
    </row>
    <row r="180" spans="2:14" x14ac:dyDescent="0.2">
      <c r="B180" s="225"/>
      <c r="C180" s="226"/>
      <c r="D180" s="226"/>
      <c r="E180" s="227"/>
      <c r="F180" s="227"/>
      <c r="G180" s="227"/>
      <c r="H180" s="228"/>
      <c r="I180" s="115"/>
      <c r="J180" s="180"/>
      <c r="K180" s="122"/>
      <c r="L180" s="125"/>
      <c r="M180" s="125"/>
      <c r="N180" s="217"/>
    </row>
    <row r="181" spans="2:14" x14ac:dyDescent="0.2">
      <c r="B181" s="225"/>
      <c r="C181" s="226"/>
      <c r="D181" s="229"/>
      <c r="E181" s="229"/>
      <c r="F181" s="227"/>
      <c r="G181" s="231"/>
      <c r="H181" s="237"/>
      <c r="I181" s="115"/>
      <c r="J181" s="180"/>
      <c r="K181" s="122"/>
      <c r="L181" s="125"/>
      <c r="M181" s="125"/>
      <c r="N181" s="217"/>
    </row>
    <row r="182" spans="2:14" x14ac:dyDescent="0.2">
      <c r="B182" s="233"/>
      <c r="C182" s="234"/>
      <c r="D182" s="234"/>
      <c r="E182" s="235"/>
      <c r="F182" s="235"/>
      <c r="G182" s="235"/>
      <c r="H182" s="236"/>
      <c r="I182" s="52"/>
      <c r="J182" s="181"/>
      <c r="K182" s="126"/>
      <c r="L182" s="107"/>
      <c r="M182" s="107"/>
      <c r="N182" s="218"/>
    </row>
    <row r="183" spans="2:14" x14ac:dyDescent="0.2">
      <c r="E183" s="116"/>
      <c r="F183" s="116"/>
      <c r="G183" s="116"/>
      <c r="H183" s="116"/>
      <c r="I183" s="116"/>
      <c r="J183" s="183"/>
      <c r="K183" s="184"/>
      <c r="L183" s="109"/>
      <c r="M183" s="109"/>
      <c r="N183" s="219"/>
    </row>
    <row r="184" spans="2:14" ht="13.5" thickBot="1" x14ac:dyDescent="0.25">
      <c r="B184" t="s">
        <v>9</v>
      </c>
      <c r="E184" s="116"/>
      <c r="F184" s="116"/>
      <c r="G184" s="116"/>
      <c r="H184" s="116"/>
      <c r="I184" s="116"/>
      <c r="J184" s="182"/>
      <c r="K184" s="145"/>
      <c r="L184" s="145"/>
      <c r="M184" s="145"/>
      <c r="N184" s="220"/>
    </row>
    <row r="187" spans="2:14" x14ac:dyDescent="0.2">
      <c r="B187" s="248" t="s">
        <v>231</v>
      </c>
    </row>
    <row r="188" spans="2:14" x14ac:dyDescent="0.2">
      <c r="B188" s="248" t="s">
        <v>226</v>
      </c>
      <c r="L188" s="44">
        <v>27.5</v>
      </c>
    </row>
    <row r="189" spans="2:14" x14ac:dyDescent="0.2">
      <c r="B189" s="248" t="s">
        <v>141</v>
      </c>
      <c r="L189" s="116">
        <v>27.5</v>
      </c>
    </row>
    <row r="190" spans="2:14" x14ac:dyDescent="0.2">
      <c r="B190" s="190" t="s">
        <v>144</v>
      </c>
      <c r="L190" s="116">
        <v>27.5</v>
      </c>
    </row>
    <row r="191" spans="2:14" x14ac:dyDescent="0.2">
      <c r="B191" s="248" t="s">
        <v>146</v>
      </c>
      <c r="L191" s="116">
        <v>27.5</v>
      </c>
    </row>
    <row r="192" spans="2:14" x14ac:dyDescent="0.2">
      <c r="B192" s="190" t="s">
        <v>210</v>
      </c>
      <c r="L192" s="116">
        <v>27.5</v>
      </c>
    </row>
    <row r="193" spans="2:12" x14ac:dyDescent="0.2">
      <c r="B193" s="248" t="s">
        <v>147</v>
      </c>
      <c r="L193" s="116">
        <v>27.5</v>
      </c>
    </row>
  </sheetData>
  <autoFilter ref="A1:AR148"/>
  <pageMargins left="0.7" right="0.7" top="0.75" bottom="0.75" header="0.3" footer="0.3"/>
  <pageSetup paperSize="256" scale="86" fitToHeight="0" orientation="landscape" r:id="rId1"/>
  <rowBreaks count="4" manualBreakCount="4">
    <brk id="38" max="13" man="1"/>
    <brk id="73" max="13" man="1"/>
    <brk id="110" max="13" man="1"/>
    <brk id="1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Voorbeeldberekening</vt:lpstr>
      <vt:lpstr>Tabel 2021 52 weken incl. 27,5 </vt:lpstr>
      <vt:lpstr>Tabel 2021 52 weken</vt:lpstr>
      <vt:lpstr>Tabel 2021 48 weken</vt:lpstr>
      <vt:lpstr>Tabel 2021 40 weken</vt:lpstr>
      <vt:lpstr>Flexibel 2021</vt:lpstr>
      <vt:lpstr>Lijst scholen</vt:lpstr>
      <vt:lpstr>Schooltijden</vt:lpstr>
      <vt:lpstr>Schooltijden!Afdrukbereik</vt:lpstr>
      <vt:lpstr>Voorbeeldberekening!Afdrukbereik</vt:lpstr>
      <vt:lpstr>Scholen</vt:lpstr>
    </vt:vector>
  </TitlesOfParts>
  <Company>Kinderopvang De Eerste Stap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 Evers</dc:creator>
  <cp:lastModifiedBy>Nathalie Gloudemans</cp:lastModifiedBy>
  <cp:lastPrinted>2016-12-14T15:10:42Z</cp:lastPrinted>
  <dcterms:created xsi:type="dcterms:W3CDTF">2011-09-27T07:14:59Z</dcterms:created>
  <dcterms:modified xsi:type="dcterms:W3CDTF">2020-11-25T12:17:25Z</dcterms:modified>
</cp:coreProperties>
</file>