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kovdeeerstestap.sharepoint.com/sites/KinderopvangdeEersteStap/Gedeelde documenten/General/Financien/30 Rekenmodel/2026/"/>
    </mc:Choice>
  </mc:AlternateContent>
  <xr:revisionPtr revIDLastSave="6" documentId="8_{AA938764-DF04-4288-AED9-82A92B93BF14}" xr6:coauthVersionLast="47" xr6:coauthVersionMax="47" xr10:uidLastSave="{5958BE98-9816-4905-87B3-81307E71E9A1}"/>
  <workbookProtection workbookAlgorithmName="SHA-512" workbookHashValue="/YUDiu6K1mDJWWCfjClQd9YFxKZ97xUuZ33vB2JEhCxboCHFikdU3BY1r+k0J1m5uFtuu7PtmTLkX3cEPG9ifA==" workbookSaltValue="apvgYoGb6tAUMMKaHFnN2g==" workbookSpinCount="100000" lockStructure="1"/>
  <bookViews>
    <workbookView xWindow="-120" yWindow="-120" windowWidth="29040" windowHeight="15720" tabRatio="739" xr2:uid="{00000000-000D-0000-FFFF-FFFF00000000}"/>
  </bookViews>
  <sheets>
    <sheet name="Voorbeeldberekening" sheetId="4" r:id="rId1"/>
    <sheet name="Tabel 2026 52 weken" sheetId="17" state="hidden" r:id="rId2"/>
    <sheet name="Tabel 2026 48 weken" sheetId="18" state="hidden" r:id="rId3"/>
    <sheet name="Tabel 2026 40 weken" sheetId="19" state="hidden" r:id="rId4"/>
    <sheet name="NIET Flexibel 2026" sheetId="20" state="hidden" r:id="rId5"/>
    <sheet name="Schooltijden" sheetId="1" state="hidden" r:id="rId6"/>
  </sheets>
  <definedNames>
    <definedName name="_xlnm._FilterDatabase" localSheetId="5" hidden="1">Schooltijden!$A$1:$AO$375</definedName>
    <definedName name="_xlnm._FilterDatabase" localSheetId="0" hidden="1">Voorbeeldberekening!#REF!</definedName>
    <definedName name="_xlnm.Print_Area" localSheetId="5">Schooltijden!#REF!</definedName>
    <definedName name="_xlnm.Print_Area" localSheetId="0">Voorbeeldberekening!$A$2:$I$38</definedName>
    <definedName name="Opvangvorm">#REF!</definedName>
    <definedName name="Schol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4" l="1"/>
  <c r="G23" i="4" s="1"/>
  <c r="M80" i="1"/>
  <c r="G28" i="4"/>
  <c r="G29" i="4" s="1"/>
  <c r="G17" i="4" s="1"/>
  <c r="G25" i="4" s="1"/>
  <c r="D19" i="20"/>
  <c r="H28" i="4"/>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33" i="20"/>
  <c r="A34" i="20"/>
  <c r="B34" i="20"/>
  <c r="D34" i="20"/>
  <c r="A35" i="20"/>
  <c r="B35" i="20"/>
  <c r="D35" i="20"/>
  <c r="A36" i="20"/>
  <c r="B36" i="20"/>
  <c r="D36" i="20"/>
  <c r="A37" i="20"/>
  <c r="B37" i="20"/>
  <c r="D37" i="20"/>
  <c r="A38" i="20"/>
  <c r="B38" i="20"/>
  <c r="D38" i="20"/>
  <c r="A39" i="20"/>
  <c r="B39" i="20"/>
  <c r="D39" i="20"/>
  <c r="A40" i="20"/>
  <c r="B40" i="20"/>
  <c r="D40" i="20"/>
  <c r="A41" i="20"/>
  <c r="B41" i="20"/>
  <c r="D41" i="20"/>
  <c r="A42" i="20"/>
  <c r="B42" i="20"/>
  <c r="D42" i="20"/>
  <c r="A43" i="20"/>
  <c r="B43" i="20"/>
  <c r="D43" i="20"/>
  <c r="A44" i="20"/>
  <c r="B44" i="20"/>
  <c r="D44" i="20"/>
  <c r="A45" i="20"/>
  <c r="B45" i="20"/>
  <c r="D45" i="20"/>
  <c r="A46" i="20"/>
  <c r="B46" i="20"/>
  <c r="D46" i="20"/>
  <c r="A47" i="20"/>
  <c r="B47" i="20"/>
  <c r="D47" i="20"/>
  <c r="A48" i="20"/>
  <c r="B48" i="20"/>
  <c r="D48" i="20"/>
  <c r="A49" i="20"/>
  <c r="B49" i="20"/>
  <c r="D49" i="20"/>
  <c r="A50" i="20"/>
  <c r="B50" i="20"/>
  <c r="D50" i="20"/>
  <c r="A51" i="20"/>
  <c r="B51" i="20"/>
  <c r="D51" i="20"/>
  <c r="A52" i="20"/>
  <c r="B52" i="20"/>
  <c r="D52" i="20"/>
  <c r="A53" i="20"/>
  <c r="B53" i="20"/>
  <c r="D53" i="20"/>
  <c r="A54" i="20"/>
  <c r="B54" i="20"/>
  <c r="D54" i="20"/>
  <c r="A55" i="20"/>
  <c r="B55" i="20"/>
  <c r="D55" i="20"/>
  <c r="A56" i="20"/>
  <c r="B56" i="20"/>
  <c r="D56" i="20"/>
  <c r="A57" i="20"/>
  <c r="B57" i="20"/>
  <c r="D57" i="20"/>
  <c r="A58" i="20"/>
  <c r="B58" i="20"/>
  <c r="D58" i="20"/>
  <c r="A59" i="20"/>
  <c r="B59" i="20"/>
  <c r="D59" i="20"/>
  <c r="A60" i="20"/>
  <c r="B60" i="20"/>
  <c r="D60" i="20"/>
  <c r="A61" i="20"/>
  <c r="B61" i="20"/>
  <c r="D61" i="20"/>
  <c r="A62" i="20"/>
  <c r="B62" i="20"/>
  <c r="D62" i="20"/>
  <c r="A63" i="20"/>
  <c r="B63" i="20"/>
  <c r="D63" i="20"/>
  <c r="A64" i="20"/>
  <c r="B64" i="20"/>
  <c r="D64" i="20"/>
  <c r="A65" i="20"/>
  <c r="B65" i="20"/>
  <c r="D65" i="20"/>
  <c r="A66" i="20"/>
  <c r="B66" i="20"/>
  <c r="D66" i="20"/>
  <c r="A67" i="20"/>
  <c r="B67" i="20"/>
  <c r="D67" i="20"/>
  <c r="A68" i="20"/>
  <c r="B68" i="20"/>
  <c r="D68" i="20"/>
  <c r="A69" i="20"/>
  <c r="B69" i="20"/>
  <c r="D69" i="20"/>
  <c r="A70" i="20"/>
  <c r="B70" i="20"/>
  <c r="D70" i="20"/>
  <c r="A71" i="20"/>
  <c r="B71" i="20"/>
  <c r="D71" i="20"/>
  <c r="A72" i="20"/>
  <c r="B72" i="20"/>
  <c r="D72" i="20"/>
  <c r="A73" i="20"/>
  <c r="B73" i="20"/>
  <c r="D73" i="20"/>
  <c r="A74" i="20"/>
  <c r="B74" i="20"/>
  <c r="D74" i="20"/>
  <c r="A75" i="20"/>
  <c r="B75" i="20"/>
  <c r="D75" i="20"/>
  <c r="A76" i="20"/>
  <c r="B76" i="20"/>
  <c r="D76" i="20"/>
  <c r="A77" i="20"/>
  <c r="B77" i="20"/>
  <c r="D77" i="20"/>
  <c r="A78" i="20"/>
  <c r="B78" i="20"/>
  <c r="D78" i="20"/>
  <c r="A79" i="20"/>
  <c r="B79" i="20"/>
  <c r="D79" i="20"/>
  <c r="A80" i="20"/>
  <c r="B80" i="20"/>
  <c r="D80" i="20"/>
  <c r="A81" i="20"/>
  <c r="B81" i="20"/>
  <c r="D81" i="20"/>
  <c r="A82" i="20"/>
  <c r="B82" i="20"/>
  <c r="D82" i="20"/>
  <c r="A83" i="20"/>
  <c r="B83" i="20"/>
  <c r="D83" i="20"/>
  <c r="A84" i="20"/>
  <c r="B84" i="20"/>
  <c r="D84" i="20"/>
  <c r="A85" i="20"/>
  <c r="B85" i="20"/>
  <c r="D85" i="20"/>
  <c r="A86" i="20"/>
  <c r="B86" i="20"/>
  <c r="D86" i="20"/>
  <c r="A87" i="20"/>
  <c r="B87" i="20"/>
  <c r="D87" i="20"/>
  <c r="A88" i="20"/>
  <c r="B88" i="20"/>
  <c r="D88" i="20"/>
  <c r="A89" i="20"/>
  <c r="B89" i="20"/>
  <c r="D89" i="20"/>
  <c r="A90" i="20"/>
  <c r="B90" i="20"/>
  <c r="D90" i="20"/>
  <c r="A91" i="20"/>
  <c r="B91" i="20"/>
  <c r="D91" i="20"/>
  <c r="A92" i="20"/>
  <c r="B92" i="20"/>
  <c r="D92" i="20"/>
  <c r="A93" i="20"/>
  <c r="B93" i="20"/>
  <c r="D93" i="20"/>
  <c r="A94" i="20"/>
  <c r="B94" i="20"/>
  <c r="D94" i="20"/>
  <c r="A95" i="20"/>
  <c r="B95" i="20"/>
  <c r="D95" i="20"/>
  <c r="A96" i="20"/>
  <c r="B96" i="20"/>
  <c r="D96" i="20"/>
  <c r="A97" i="20"/>
  <c r="B97" i="20"/>
  <c r="D97" i="20"/>
  <c r="A98" i="20"/>
  <c r="B98" i="20"/>
  <c r="D98" i="20"/>
  <c r="A99" i="20"/>
  <c r="B99" i="20"/>
  <c r="D99" i="20"/>
  <c r="A100" i="20"/>
  <c r="B100" i="20"/>
  <c r="D100" i="20"/>
  <c r="A101" i="20"/>
  <c r="B101" i="20"/>
  <c r="D101" i="20"/>
  <c r="D33" i="20"/>
  <c r="B33" i="20"/>
  <c r="A33" i="20"/>
  <c r="J34" i="19"/>
  <c r="J35" i="19"/>
  <c r="J36" i="19"/>
  <c r="J37" i="19"/>
  <c r="J38" i="19"/>
  <c r="J39" i="19"/>
  <c r="J40" i="19"/>
  <c r="J41" i="19"/>
  <c r="J42" i="19"/>
  <c r="J43" i="19"/>
  <c r="J44" i="19"/>
  <c r="J45" i="19"/>
  <c r="J46" i="19"/>
  <c r="J47" i="19"/>
  <c r="J48" i="19"/>
  <c r="J49" i="19"/>
  <c r="J50" i="19"/>
  <c r="J51" i="19"/>
  <c r="J52" i="19"/>
  <c r="J53" i="19"/>
  <c r="J54" i="19"/>
  <c r="J55" i="19"/>
  <c r="J56" i="19"/>
  <c r="J57" i="19"/>
  <c r="J58" i="19"/>
  <c r="J59" i="19"/>
  <c r="J60" i="19"/>
  <c r="J61" i="19"/>
  <c r="J62" i="19"/>
  <c r="J63" i="19"/>
  <c r="J64" i="19"/>
  <c r="J65" i="19"/>
  <c r="J66" i="19"/>
  <c r="J67" i="19"/>
  <c r="J68" i="19"/>
  <c r="J69" i="19"/>
  <c r="J70" i="19"/>
  <c r="J71" i="19"/>
  <c r="J72" i="19"/>
  <c r="J73" i="19"/>
  <c r="J74" i="19"/>
  <c r="J75" i="19"/>
  <c r="J76" i="19"/>
  <c r="J77" i="19"/>
  <c r="J78" i="19"/>
  <c r="J79" i="19"/>
  <c r="J80" i="19"/>
  <c r="J81" i="19"/>
  <c r="J82" i="19"/>
  <c r="J83" i="19"/>
  <c r="J84" i="19"/>
  <c r="J85" i="19"/>
  <c r="J86" i="19"/>
  <c r="J87" i="19"/>
  <c r="J88" i="19"/>
  <c r="J89" i="19"/>
  <c r="J90" i="19"/>
  <c r="J91" i="19"/>
  <c r="J92" i="19"/>
  <c r="J93" i="19"/>
  <c r="J94" i="19"/>
  <c r="J95" i="19"/>
  <c r="J96" i="19"/>
  <c r="J97" i="19"/>
  <c r="J98" i="19"/>
  <c r="J99" i="19"/>
  <c r="J100" i="19"/>
  <c r="J101" i="19"/>
  <c r="A34" i="19"/>
  <c r="B34" i="19"/>
  <c r="D34" i="19"/>
  <c r="A35" i="19"/>
  <c r="B35" i="19"/>
  <c r="D35" i="19"/>
  <c r="A36" i="19"/>
  <c r="B36" i="19"/>
  <c r="D36" i="19"/>
  <c r="A37" i="19"/>
  <c r="B37" i="19"/>
  <c r="D37" i="19"/>
  <c r="A38" i="19"/>
  <c r="B38" i="19"/>
  <c r="D38" i="19"/>
  <c r="A39" i="19"/>
  <c r="B39" i="19"/>
  <c r="D39" i="19"/>
  <c r="A40" i="19"/>
  <c r="B40" i="19"/>
  <c r="D40" i="19"/>
  <c r="A41" i="19"/>
  <c r="B41" i="19"/>
  <c r="D41" i="19"/>
  <c r="A42" i="19"/>
  <c r="B42" i="19"/>
  <c r="D42" i="19"/>
  <c r="A43" i="19"/>
  <c r="B43" i="19"/>
  <c r="D43" i="19"/>
  <c r="A44" i="19"/>
  <c r="B44" i="19"/>
  <c r="D44" i="19"/>
  <c r="A45" i="19"/>
  <c r="B45" i="19"/>
  <c r="D45" i="19"/>
  <c r="A46" i="19"/>
  <c r="B46" i="19"/>
  <c r="D46" i="19"/>
  <c r="A47" i="19"/>
  <c r="B47" i="19"/>
  <c r="D47" i="19"/>
  <c r="A48" i="19"/>
  <c r="B48" i="19"/>
  <c r="D48" i="19"/>
  <c r="A49" i="19"/>
  <c r="B49" i="19"/>
  <c r="D49" i="19"/>
  <c r="A50" i="19"/>
  <c r="B50" i="19"/>
  <c r="D50" i="19"/>
  <c r="A51" i="19"/>
  <c r="B51" i="19"/>
  <c r="D51" i="19"/>
  <c r="A52" i="19"/>
  <c r="B52" i="19"/>
  <c r="D52" i="19"/>
  <c r="A53" i="19"/>
  <c r="B53" i="19"/>
  <c r="D53" i="19"/>
  <c r="A54" i="19"/>
  <c r="B54" i="19"/>
  <c r="D54" i="19"/>
  <c r="A55" i="19"/>
  <c r="B55" i="19"/>
  <c r="D55" i="19"/>
  <c r="A56" i="19"/>
  <c r="B56" i="19"/>
  <c r="D56" i="19"/>
  <c r="A57" i="19"/>
  <c r="B57" i="19"/>
  <c r="D57" i="19"/>
  <c r="A58" i="19"/>
  <c r="B58" i="19"/>
  <c r="D58" i="19"/>
  <c r="A59" i="19"/>
  <c r="B59" i="19"/>
  <c r="D59" i="19"/>
  <c r="A60" i="19"/>
  <c r="B60" i="19"/>
  <c r="D60" i="19"/>
  <c r="A61" i="19"/>
  <c r="B61" i="19"/>
  <c r="D61" i="19"/>
  <c r="A62" i="19"/>
  <c r="B62" i="19"/>
  <c r="D62" i="19"/>
  <c r="A63" i="19"/>
  <c r="B63" i="19"/>
  <c r="D63" i="19"/>
  <c r="A64" i="19"/>
  <c r="B64" i="19"/>
  <c r="D64" i="19"/>
  <c r="A65" i="19"/>
  <c r="B65" i="19"/>
  <c r="D65" i="19"/>
  <c r="A66" i="19"/>
  <c r="B66" i="19"/>
  <c r="D66" i="19"/>
  <c r="A67" i="19"/>
  <c r="B67" i="19"/>
  <c r="D67" i="19"/>
  <c r="A68" i="19"/>
  <c r="B68" i="19"/>
  <c r="D68" i="19"/>
  <c r="A69" i="19"/>
  <c r="B69" i="19"/>
  <c r="D69" i="19"/>
  <c r="A70" i="19"/>
  <c r="B70" i="19"/>
  <c r="D70" i="19"/>
  <c r="A71" i="19"/>
  <c r="B71" i="19"/>
  <c r="D71" i="19"/>
  <c r="A72" i="19"/>
  <c r="B72" i="19"/>
  <c r="D72" i="19"/>
  <c r="A73" i="19"/>
  <c r="B73" i="19"/>
  <c r="D73" i="19"/>
  <c r="A74" i="19"/>
  <c r="B74" i="19"/>
  <c r="D74" i="19"/>
  <c r="A75" i="19"/>
  <c r="B75" i="19"/>
  <c r="D75" i="19"/>
  <c r="A76" i="19"/>
  <c r="B76" i="19"/>
  <c r="D76" i="19"/>
  <c r="A77" i="19"/>
  <c r="B77" i="19"/>
  <c r="D77" i="19"/>
  <c r="A78" i="19"/>
  <c r="B78" i="19"/>
  <c r="D78" i="19"/>
  <c r="A79" i="19"/>
  <c r="B79" i="19"/>
  <c r="D79" i="19"/>
  <c r="A80" i="19"/>
  <c r="B80" i="19"/>
  <c r="D80" i="19"/>
  <c r="A81" i="19"/>
  <c r="B81" i="19"/>
  <c r="D81" i="19"/>
  <c r="A82" i="19"/>
  <c r="B82" i="19"/>
  <c r="D82" i="19"/>
  <c r="A83" i="19"/>
  <c r="B83" i="19"/>
  <c r="D83" i="19"/>
  <c r="A84" i="19"/>
  <c r="B84" i="19"/>
  <c r="D84" i="19"/>
  <c r="A85" i="19"/>
  <c r="B85" i="19"/>
  <c r="D85" i="19"/>
  <c r="A86" i="19"/>
  <c r="B86" i="19"/>
  <c r="D86" i="19"/>
  <c r="A87" i="19"/>
  <c r="B87" i="19"/>
  <c r="D87" i="19"/>
  <c r="A88" i="19"/>
  <c r="B88" i="19"/>
  <c r="D88" i="19"/>
  <c r="A89" i="19"/>
  <c r="B89" i="19"/>
  <c r="D89" i="19"/>
  <c r="A90" i="19"/>
  <c r="B90" i="19"/>
  <c r="D90" i="19"/>
  <c r="A91" i="19"/>
  <c r="B91" i="19"/>
  <c r="D91" i="19"/>
  <c r="A92" i="19"/>
  <c r="B92" i="19"/>
  <c r="D92" i="19"/>
  <c r="A93" i="19"/>
  <c r="B93" i="19"/>
  <c r="D93" i="19"/>
  <c r="A94" i="19"/>
  <c r="B94" i="19"/>
  <c r="D94" i="19"/>
  <c r="A95" i="19"/>
  <c r="B95" i="19"/>
  <c r="D95" i="19"/>
  <c r="A96" i="19"/>
  <c r="B96" i="19"/>
  <c r="D96" i="19"/>
  <c r="A97" i="19"/>
  <c r="B97" i="19"/>
  <c r="D97" i="19"/>
  <c r="A98" i="19"/>
  <c r="B98" i="19"/>
  <c r="D98" i="19"/>
  <c r="A99" i="19"/>
  <c r="B99" i="19"/>
  <c r="D99" i="19"/>
  <c r="A100" i="19"/>
  <c r="B100" i="19"/>
  <c r="D100" i="19"/>
  <c r="A101" i="19"/>
  <c r="B101" i="19"/>
  <c r="D101" i="19"/>
  <c r="J33" i="19"/>
  <c r="D33" i="19"/>
  <c r="B33" i="19"/>
  <c r="A33" i="19"/>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62" i="18"/>
  <c r="J63" i="18"/>
  <c r="J64" i="18"/>
  <c r="J65" i="18"/>
  <c r="J66" i="18"/>
  <c r="J67"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33" i="18"/>
  <c r="A34" i="18"/>
  <c r="B34" i="18"/>
  <c r="D34" i="18"/>
  <c r="A35" i="18"/>
  <c r="B35" i="18"/>
  <c r="D35" i="18"/>
  <c r="A36" i="18"/>
  <c r="B36" i="18"/>
  <c r="D36" i="18"/>
  <c r="A37" i="18"/>
  <c r="B37" i="18"/>
  <c r="D37" i="18"/>
  <c r="A38" i="18"/>
  <c r="B38" i="18"/>
  <c r="D38" i="18"/>
  <c r="A39" i="18"/>
  <c r="B39" i="18"/>
  <c r="D39" i="18"/>
  <c r="A40" i="18"/>
  <c r="B40" i="18"/>
  <c r="D40" i="18"/>
  <c r="A41" i="18"/>
  <c r="B41" i="18"/>
  <c r="D41" i="18"/>
  <c r="A42" i="18"/>
  <c r="B42" i="18"/>
  <c r="D42" i="18"/>
  <c r="A43" i="18"/>
  <c r="B43" i="18"/>
  <c r="D43" i="18"/>
  <c r="A44" i="18"/>
  <c r="B44" i="18"/>
  <c r="D44" i="18"/>
  <c r="A45" i="18"/>
  <c r="B45" i="18"/>
  <c r="D45" i="18"/>
  <c r="A46" i="18"/>
  <c r="B46" i="18"/>
  <c r="D46" i="18"/>
  <c r="A47" i="18"/>
  <c r="B47" i="18"/>
  <c r="D47" i="18"/>
  <c r="A48" i="18"/>
  <c r="B48" i="18"/>
  <c r="D48" i="18"/>
  <c r="A49" i="18"/>
  <c r="B49" i="18"/>
  <c r="D49" i="18"/>
  <c r="A50" i="18"/>
  <c r="B50" i="18"/>
  <c r="D50" i="18"/>
  <c r="A51" i="18"/>
  <c r="B51" i="18"/>
  <c r="D51" i="18"/>
  <c r="A52" i="18"/>
  <c r="B52" i="18"/>
  <c r="D52" i="18"/>
  <c r="A53" i="18"/>
  <c r="B53" i="18"/>
  <c r="D53" i="18"/>
  <c r="A54" i="18"/>
  <c r="B54" i="18"/>
  <c r="D54" i="18"/>
  <c r="A55" i="18"/>
  <c r="B55" i="18"/>
  <c r="D55" i="18"/>
  <c r="A56" i="18"/>
  <c r="B56" i="18"/>
  <c r="D56" i="18"/>
  <c r="A57" i="18"/>
  <c r="B57" i="18"/>
  <c r="D57" i="18"/>
  <c r="A58" i="18"/>
  <c r="B58" i="18"/>
  <c r="D58" i="18"/>
  <c r="A59" i="18"/>
  <c r="B59" i="18"/>
  <c r="D59" i="18"/>
  <c r="A60" i="18"/>
  <c r="B60" i="18"/>
  <c r="D60" i="18"/>
  <c r="A61" i="18"/>
  <c r="B61" i="18"/>
  <c r="D61" i="18"/>
  <c r="A62" i="18"/>
  <c r="B62" i="18"/>
  <c r="D62" i="18"/>
  <c r="A63" i="18"/>
  <c r="B63" i="18"/>
  <c r="D63" i="18"/>
  <c r="A64" i="18"/>
  <c r="B64" i="18"/>
  <c r="D64" i="18"/>
  <c r="A65" i="18"/>
  <c r="B65" i="18"/>
  <c r="D65" i="18"/>
  <c r="A66" i="18"/>
  <c r="B66" i="18"/>
  <c r="D66" i="18"/>
  <c r="A67" i="18"/>
  <c r="B67" i="18"/>
  <c r="D67" i="18"/>
  <c r="A68" i="18"/>
  <c r="B68" i="18"/>
  <c r="D68" i="18"/>
  <c r="A69" i="18"/>
  <c r="B69" i="18"/>
  <c r="D69" i="18"/>
  <c r="A70" i="18"/>
  <c r="B70" i="18"/>
  <c r="D70" i="18"/>
  <c r="A71" i="18"/>
  <c r="B71" i="18"/>
  <c r="D71" i="18"/>
  <c r="A72" i="18"/>
  <c r="B72" i="18"/>
  <c r="D72" i="18"/>
  <c r="A73" i="18"/>
  <c r="B73" i="18"/>
  <c r="D73" i="18"/>
  <c r="A74" i="18"/>
  <c r="B74" i="18"/>
  <c r="D74" i="18"/>
  <c r="A75" i="18"/>
  <c r="B75" i="18"/>
  <c r="D75" i="18"/>
  <c r="A76" i="18"/>
  <c r="B76" i="18"/>
  <c r="D76" i="18"/>
  <c r="A77" i="18"/>
  <c r="B77" i="18"/>
  <c r="D77" i="18"/>
  <c r="A78" i="18"/>
  <c r="B78" i="18"/>
  <c r="D78" i="18"/>
  <c r="A79" i="18"/>
  <c r="B79" i="18"/>
  <c r="D79" i="18"/>
  <c r="A80" i="18"/>
  <c r="B80" i="18"/>
  <c r="D80" i="18"/>
  <c r="A81" i="18"/>
  <c r="B81" i="18"/>
  <c r="D81" i="18"/>
  <c r="A82" i="18"/>
  <c r="B82" i="18"/>
  <c r="D82" i="18"/>
  <c r="A83" i="18"/>
  <c r="B83" i="18"/>
  <c r="D83" i="18"/>
  <c r="A84" i="18"/>
  <c r="B84" i="18"/>
  <c r="D84" i="18"/>
  <c r="A85" i="18"/>
  <c r="B85" i="18"/>
  <c r="D85" i="18"/>
  <c r="A86" i="18"/>
  <c r="B86" i="18"/>
  <c r="D86" i="18"/>
  <c r="A87" i="18"/>
  <c r="B87" i="18"/>
  <c r="D87" i="18"/>
  <c r="A88" i="18"/>
  <c r="B88" i="18"/>
  <c r="D88" i="18"/>
  <c r="A89" i="18"/>
  <c r="B89" i="18"/>
  <c r="D89" i="18"/>
  <c r="A90" i="18"/>
  <c r="B90" i="18"/>
  <c r="D90" i="18"/>
  <c r="A91" i="18"/>
  <c r="B91" i="18"/>
  <c r="D91" i="18"/>
  <c r="A92" i="18"/>
  <c r="B92" i="18"/>
  <c r="D92" i="18"/>
  <c r="A93" i="18"/>
  <c r="B93" i="18"/>
  <c r="D93" i="18"/>
  <c r="A94" i="18"/>
  <c r="B94" i="18"/>
  <c r="D94" i="18"/>
  <c r="A95" i="18"/>
  <c r="B95" i="18"/>
  <c r="D95" i="18"/>
  <c r="A96" i="18"/>
  <c r="B96" i="18"/>
  <c r="D96" i="18"/>
  <c r="A97" i="18"/>
  <c r="B97" i="18"/>
  <c r="D97" i="18"/>
  <c r="A98" i="18"/>
  <c r="B98" i="18"/>
  <c r="D98" i="18"/>
  <c r="A99" i="18"/>
  <c r="B99" i="18"/>
  <c r="D99" i="18"/>
  <c r="A100" i="18"/>
  <c r="B100" i="18"/>
  <c r="D100" i="18"/>
  <c r="A101" i="18"/>
  <c r="B101" i="18"/>
  <c r="D101" i="18"/>
  <c r="D33" i="18"/>
  <c r="B33" i="18"/>
  <c r="A33" i="18"/>
  <c r="H15" i="4" l="1"/>
  <c r="H30" i="4"/>
  <c r="H29" i="4"/>
  <c r="H23" i="4" l="1"/>
  <c r="D80" i="1"/>
  <c r="G80" i="1" s="1"/>
  <c r="L241" i="1"/>
  <c r="J248" i="1"/>
  <c r="M248" i="1" s="1"/>
  <c r="D249" i="1"/>
  <c r="E249" i="1"/>
  <c r="F249" i="1"/>
  <c r="G249" i="1"/>
  <c r="H249" i="1"/>
  <c r="J250" i="1"/>
  <c r="N250" i="1" s="1"/>
  <c r="H80" i="1" l="1"/>
  <c r="E80" i="1"/>
  <c r="J80" i="1" s="1"/>
  <c r="F80" i="1"/>
  <c r="J249" i="1"/>
  <c r="M250" i="1"/>
  <c r="N248" i="1"/>
  <c r="M249" i="1"/>
  <c r="M251" i="1" s="1"/>
  <c r="N249" i="1"/>
  <c r="N251" i="1" s="1"/>
  <c r="D20" i="20" l="1"/>
  <c r="B27" i="17"/>
  <c r="F28" i="4"/>
  <c r="K11" i="1"/>
  <c r="K80" i="1" s="1"/>
  <c r="N28" i="17"/>
  <c r="T48" i="20"/>
  <c r="W47" i="20"/>
  <c r="Q46" i="20"/>
  <c r="R46" i="20"/>
  <c r="S46" i="20"/>
  <c r="N28" i="20"/>
  <c r="L28" i="20"/>
  <c r="T48" i="19"/>
  <c r="U48" i="19"/>
  <c r="W47" i="19"/>
  <c r="S46" i="19"/>
  <c r="Q46" i="19"/>
  <c r="R46" i="19" s="1"/>
  <c r="T46" i="19" s="1"/>
  <c r="N28" i="19"/>
  <c r="L28" i="19"/>
  <c r="N28" i="18"/>
  <c r="L28" i="18"/>
  <c r="L28" i="17"/>
  <c r="V48" i="20"/>
  <c r="U48" i="20"/>
  <c r="J23" i="1"/>
  <c r="M23" i="1" s="1"/>
  <c r="R34" i="1"/>
  <c r="R36" i="1" s="1"/>
  <c r="R25" i="1"/>
  <c r="J26" i="1"/>
  <c r="N26" i="1" s="1"/>
  <c r="J25" i="1"/>
  <c r="M25" i="1" s="1"/>
  <c r="H24" i="1"/>
  <c r="G24" i="1"/>
  <c r="F24" i="1"/>
  <c r="E24" i="1"/>
  <c r="D24" i="1"/>
  <c r="J14" i="1"/>
  <c r="J16" i="1"/>
  <c r="P37" i="1"/>
  <c r="P36" i="1"/>
  <c r="P35" i="1"/>
  <c r="F35" i="1"/>
  <c r="Q37" i="1"/>
  <c r="Q36" i="1"/>
  <c r="Q35" i="1"/>
  <c r="O37" i="1"/>
  <c r="O36" i="1"/>
  <c r="O35" i="1"/>
  <c r="J5" i="1"/>
  <c r="D6" i="1"/>
  <c r="E6" i="1"/>
  <c r="F6" i="1"/>
  <c r="G6" i="1"/>
  <c r="H6" i="1"/>
  <c r="J7" i="1"/>
  <c r="H15" i="1"/>
  <c r="G15" i="1"/>
  <c r="F15" i="1"/>
  <c r="E15" i="1"/>
  <c r="D15" i="1"/>
  <c r="K7" i="1"/>
  <c r="K6" i="1"/>
  <c r="K5" i="1"/>
  <c r="H35" i="1"/>
  <c r="L61" i="1"/>
  <c r="K250" i="1" l="1"/>
  <c r="L250" i="1" s="1"/>
  <c r="K248" i="1"/>
  <c r="J6" i="1"/>
  <c r="A104" i="19"/>
  <c r="A104" i="18"/>
  <c r="A104" i="17"/>
  <c r="A104" i="20"/>
  <c r="E8" i="4"/>
  <c r="D20" i="18"/>
  <c r="F20" i="18" s="1"/>
  <c r="H78" i="18" s="1"/>
  <c r="K26" i="1"/>
  <c r="L26" i="1" s="1"/>
  <c r="T46" i="20"/>
  <c r="L7" i="1"/>
  <c r="T7" i="1" s="1"/>
  <c r="AE7" i="1" s="1"/>
  <c r="K16" i="1"/>
  <c r="L16" i="1" s="1"/>
  <c r="T16" i="1" s="1"/>
  <c r="V16" i="1" s="1"/>
  <c r="W16" i="1" s="1"/>
  <c r="Z16" i="1" s="1"/>
  <c r="R37" i="1"/>
  <c r="N23" i="1"/>
  <c r="L80" i="1"/>
  <c r="L5" i="1"/>
  <c r="R35" i="1"/>
  <c r="J15" i="1"/>
  <c r="M26" i="1"/>
  <c r="N80" i="1"/>
  <c r="L6" i="1"/>
  <c r="T6" i="1" s="1"/>
  <c r="AE6" i="1" s="1"/>
  <c r="V48" i="19"/>
  <c r="F20" i="17"/>
  <c r="H34" i="17" s="1"/>
  <c r="D20" i="19"/>
  <c r="F20" i="19" s="1"/>
  <c r="N40" i="19" s="1"/>
  <c r="T5" i="1"/>
  <c r="V47" i="20"/>
  <c r="V46" i="20"/>
  <c r="U46" i="20"/>
  <c r="F29" i="4"/>
  <c r="F16" i="4" s="1"/>
  <c r="V46" i="19"/>
  <c r="U46" i="19"/>
  <c r="V47" i="19"/>
  <c r="F20" i="20"/>
  <c r="H85" i="20" s="1"/>
  <c r="N25" i="1"/>
  <c r="J24" i="1"/>
  <c r="H68" i="18"/>
  <c r="H76" i="18"/>
  <c r="H84" i="18"/>
  <c r="H92" i="18"/>
  <c r="H100" i="18"/>
  <c r="N77" i="18"/>
  <c r="N62" i="18"/>
  <c r="H33" i="18"/>
  <c r="N70" i="18"/>
  <c r="K23" i="1"/>
  <c r="K14" i="1"/>
  <c r="K25" i="1"/>
  <c r="L25" i="1" s="1"/>
  <c r="F19" i="17"/>
  <c r="F38" i="17" s="1"/>
  <c r="D19" i="18"/>
  <c r="D19" i="19"/>
  <c r="H46" i="17"/>
  <c r="H50" i="17"/>
  <c r="H74" i="17"/>
  <c r="H94" i="17"/>
  <c r="H51" i="17"/>
  <c r="H63" i="17"/>
  <c r="H67" i="17"/>
  <c r="H71" i="17"/>
  <c r="H75" i="17"/>
  <c r="H79" i="17"/>
  <c r="H83" i="17"/>
  <c r="H87" i="17"/>
  <c r="H91" i="17"/>
  <c r="H95" i="17"/>
  <c r="H99" i="17"/>
  <c r="H48" i="17"/>
  <c r="H56" i="17"/>
  <c r="H88" i="17"/>
  <c r="H96" i="17"/>
  <c r="N34" i="17"/>
  <c r="N39" i="17"/>
  <c r="N42" i="17"/>
  <c r="N47" i="17"/>
  <c r="N50" i="17"/>
  <c r="N55" i="17"/>
  <c r="N58" i="17"/>
  <c r="N63" i="17"/>
  <c r="N71" i="17"/>
  <c r="N74" i="17"/>
  <c r="N79" i="17"/>
  <c r="N82" i="17"/>
  <c r="N87" i="17"/>
  <c r="N95" i="17"/>
  <c r="N98" i="17"/>
  <c r="H41" i="17"/>
  <c r="H49" i="17"/>
  <c r="H57" i="17"/>
  <c r="H65" i="17"/>
  <c r="H73" i="17"/>
  <c r="H81" i="17"/>
  <c r="H89" i="17"/>
  <c r="N37" i="17"/>
  <c r="N40" i="17"/>
  <c r="N45" i="17"/>
  <c r="N48" i="17"/>
  <c r="N53" i="17"/>
  <c r="N56" i="17"/>
  <c r="N64" i="17"/>
  <c r="N69" i="17"/>
  <c r="N72" i="17"/>
  <c r="N77" i="17"/>
  <c r="N80" i="17"/>
  <c r="N85" i="17"/>
  <c r="N88" i="17"/>
  <c r="N93" i="17"/>
  <c r="N96" i="17"/>
  <c r="N101" i="17"/>
  <c r="H36" i="17"/>
  <c r="H52" i="17"/>
  <c r="H68" i="17"/>
  <c r="H84" i="17"/>
  <c r="H100" i="17"/>
  <c r="N46" i="17"/>
  <c r="N51" i="17"/>
  <c r="N62" i="17"/>
  <c r="N67" i="17"/>
  <c r="N78" i="17"/>
  <c r="N83" i="17"/>
  <c r="N94" i="17"/>
  <c r="N99" i="17"/>
  <c r="H37" i="17"/>
  <c r="H53" i="17"/>
  <c r="H69" i="17"/>
  <c r="H85" i="17"/>
  <c r="H101" i="17"/>
  <c r="N36" i="17"/>
  <c r="N41" i="17"/>
  <c r="N57" i="17"/>
  <c r="N68" i="17"/>
  <c r="N73" i="17"/>
  <c r="N84" i="17"/>
  <c r="N89" i="17"/>
  <c r="N100" i="17"/>
  <c r="H61" i="17"/>
  <c r="H93" i="17"/>
  <c r="N49" i="17"/>
  <c r="N60" i="17"/>
  <c r="N81" i="17"/>
  <c r="N92" i="17"/>
  <c r="N70" i="17"/>
  <c r="H44" i="17"/>
  <c r="H76" i="17"/>
  <c r="N54" i="17"/>
  <c r="N75" i="17"/>
  <c r="N86" i="17"/>
  <c r="H33" i="17"/>
  <c r="H45" i="17"/>
  <c r="H77" i="17"/>
  <c r="N44" i="17"/>
  <c r="N65" i="17"/>
  <c r="N76" i="17"/>
  <c r="N97" i="17"/>
  <c r="H60" i="17"/>
  <c r="H92" i="17"/>
  <c r="N38" i="17"/>
  <c r="N59" i="17"/>
  <c r="N91" i="17"/>
  <c r="N39" i="18" l="1"/>
  <c r="H91" i="18"/>
  <c r="H35" i="18"/>
  <c r="N49" i="18"/>
  <c r="H98" i="18"/>
  <c r="N38" i="18"/>
  <c r="H94" i="18"/>
  <c r="N76" i="18"/>
  <c r="N68" i="18"/>
  <c r="N52" i="18"/>
  <c r="N43" i="17"/>
  <c r="N52" i="17"/>
  <c r="N35" i="17"/>
  <c r="N61" i="17"/>
  <c r="N90" i="17"/>
  <c r="H72" i="17"/>
  <c r="H70" i="17"/>
  <c r="H89" i="18"/>
  <c r="H59" i="17"/>
  <c r="N101" i="18"/>
  <c r="H70" i="18"/>
  <c r="H80" i="17"/>
  <c r="H55" i="17"/>
  <c r="N99" i="18"/>
  <c r="H42" i="18"/>
  <c r="N65" i="18"/>
  <c r="N89" i="18"/>
  <c r="H38" i="18"/>
  <c r="H64" i="17"/>
  <c r="H47" i="17"/>
  <c r="N96" i="18"/>
  <c r="N87" i="18"/>
  <c r="H43" i="17"/>
  <c r="N88" i="18"/>
  <c r="N81" i="18"/>
  <c r="H78" i="17"/>
  <c r="H81" i="18"/>
  <c r="N75" i="18"/>
  <c r="N94" i="18"/>
  <c r="N72" i="18"/>
  <c r="H34" i="18"/>
  <c r="N90" i="18"/>
  <c r="H53" i="18"/>
  <c r="N86" i="18"/>
  <c r="H45" i="18"/>
  <c r="N82" i="18"/>
  <c r="N61" i="18"/>
  <c r="H96" i="18"/>
  <c r="N33" i="18"/>
  <c r="N64" i="18"/>
  <c r="H60" i="18"/>
  <c r="N84" i="18"/>
  <c r="N73" i="18"/>
  <c r="N59" i="18"/>
  <c r="H52" i="18"/>
  <c r="N56" i="18"/>
  <c r="H44" i="18"/>
  <c r="N55" i="18"/>
  <c r="N57" i="18"/>
  <c r="N35" i="18"/>
  <c r="H99" i="18"/>
  <c r="N44" i="18"/>
  <c r="N46" i="18"/>
  <c r="H93" i="18"/>
  <c r="H64" i="18"/>
  <c r="H88" i="18"/>
  <c r="H85" i="18"/>
  <c r="H55" i="18"/>
  <c r="H51" i="18"/>
  <c r="H48" i="18"/>
  <c r="H72" i="18"/>
  <c r="H69" i="18"/>
  <c r="N98" i="18"/>
  <c r="H40" i="18"/>
  <c r="H61" i="18"/>
  <c r="H47" i="18"/>
  <c r="H90" i="17"/>
  <c r="H86" i="17"/>
  <c r="H82" i="17"/>
  <c r="N87" i="19"/>
  <c r="H65" i="18"/>
  <c r="N47" i="18"/>
  <c r="N85" i="18"/>
  <c r="H37" i="18"/>
  <c r="H43" i="18"/>
  <c r="H97" i="17"/>
  <c r="N66" i="17"/>
  <c r="H40" i="17"/>
  <c r="H39" i="17"/>
  <c r="N54" i="18"/>
  <c r="N36" i="18"/>
  <c r="N83" i="18"/>
  <c r="N69" i="18"/>
  <c r="H39" i="18"/>
  <c r="N92" i="18"/>
  <c r="N63" i="18"/>
  <c r="H56" i="18"/>
  <c r="N67" i="18"/>
  <c r="N74" i="18"/>
  <c r="H36" i="18"/>
  <c r="H74" i="18"/>
  <c r="N66" i="18"/>
  <c r="H95" i="18"/>
  <c r="H66" i="18"/>
  <c r="H62" i="18"/>
  <c r="N51" i="18"/>
  <c r="H71" i="18"/>
  <c r="H58" i="18"/>
  <c r="N80" i="18"/>
  <c r="H97" i="18"/>
  <c r="H73" i="18"/>
  <c r="N95" i="18"/>
  <c r="N48" i="18"/>
  <c r="N53" i="18"/>
  <c r="H67" i="18"/>
  <c r="H54" i="18"/>
  <c r="N43" i="18"/>
  <c r="H50" i="18"/>
  <c r="N97" i="18"/>
  <c r="N58" i="18"/>
  <c r="N71" i="18"/>
  <c r="H49" i="18"/>
  <c r="H57" i="18"/>
  <c r="N93" i="18"/>
  <c r="N50" i="18"/>
  <c r="H63" i="18"/>
  <c r="N60" i="18"/>
  <c r="H80" i="18"/>
  <c r="H41" i="18"/>
  <c r="N91" i="18"/>
  <c r="N40" i="18"/>
  <c r="N37" i="18"/>
  <c r="H59" i="18"/>
  <c r="H46" i="18"/>
  <c r="L8" i="1"/>
  <c r="N61" i="1" s="1"/>
  <c r="E28" i="4"/>
  <c r="E29" i="4" s="1"/>
  <c r="M241" i="1"/>
  <c r="N241" i="1"/>
  <c r="N253" i="1"/>
  <c r="N252" i="1"/>
  <c r="M253" i="1"/>
  <c r="M252" i="1"/>
  <c r="K249" i="1"/>
  <c r="L249" i="1" s="1"/>
  <c r="L248" i="1"/>
  <c r="V7" i="1"/>
  <c r="W7" i="1" s="1"/>
  <c r="AB7" i="1" s="1"/>
  <c r="AE16" i="1"/>
  <c r="AF16" i="1" s="1"/>
  <c r="Y16" i="1"/>
  <c r="AC16" i="1"/>
  <c r="AB16" i="1"/>
  <c r="AA16" i="1"/>
  <c r="H66" i="17"/>
  <c r="H62" i="17"/>
  <c r="H58" i="17"/>
  <c r="H54" i="17"/>
  <c r="H101" i="18"/>
  <c r="N45" i="18"/>
  <c r="H87" i="18"/>
  <c r="H90" i="18"/>
  <c r="N42" i="18"/>
  <c r="H83" i="18"/>
  <c r="H86" i="18"/>
  <c r="H79" i="18"/>
  <c r="H82" i="18"/>
  <c r="N100" i="18"/>
  <c r="N78" i="18"/>
  <c r="N41" i="18"/>
  <c r="N79" i="18"/>
  <c r="H77" i="18"/>
  <c r="N34" i="18"/>
  <c r="H75" i="18"/>
  <c r="H35" i="17"/>
  <c r="H42" i="17"/>
  <c r="N33" i="17"/>
  <c r="H38" i="17"/>
  <c r="H98" i="17"/>
  <c r="N99" i="19"/>
  <c r="N73" i="19"/>
  <c r="N86" i="19"/>
  <c r="V6" i="1"/>
  <c r="W6" i="1" s="1"/>
  <c r="X6" i="1" s="1"/>
  <c r="N35" i="19"/>
  <c r="H98" i="19"/>
  <c r="N41" i="19"/>
  <c r="N70" i="19"/>
  <c r="H33" i="19"/>
  <c r="H70" i="19"/>
  <c r="H67" i="19"/>
  <c r="N54" i="19"/>
  <c r="H90" i="19"/>
  <c r="H82" i="19"/>
  <c r="H38" i="19"/>
  <c r="H35" i="19"/>
  <c r="N38" i="19"/>
  <c r="L100" i="17"/>
  <c r="F41" i="17"/>
  <c r="H71" i="19"/>
  <c r="H69" i="19"/>
  <c r="N75" i="19"/>
  <c r="H68" i="19"/>
  <c r="H55" i="19"/>
  <c r="H61" i="19"/>
  <c r="N63" i="19"/>
  <c r="H89" i="19"/>
  <c r="H57" i="19"/>
  <c r="N93" i="19"/>
  <c r="N61" i="19"/>
  <c r="H88" i="19"/>
  <c r="H56" i="19"/>
  <c r="N96" i="19"/>
  <c r="N80" i="19"/>
  <c r="N64" i="19"/>
  <c r="N48" i="19"/>
  <c r="N33" i="19"/>
  <c r="H60" i="19"/>
  <c r="H58" i="19"/>
  <c r="N67" i="19"/>
  <c r="H63" i="19"/>
  <c r="H44" i="19"/>
  <c r="H50" i="19"/>
  <c r="N55" i="19"/>
  <c r="H86" i="19"/>
  <c r="H54" i="19"/>
  <c r="N89" i="19"/>
  <c r="N57" i="19"/>
  <c r="H83" i="19"/>
  <c r="H51" i="19"/>
  <c r="N94" i="19"/>
  <c r="N78" i="19"/>
  <c r="N62" i="19"/>
  <c r="N46" i="19"/>
  <c r="H95" i="19"/>
  <c r="H37" i="19"/>
  <c r="N43" i="19"/>
  <c r="H36" i="19"/>
  <c r="H93" i="19"/>
  <c r="N95" i="19"/>
  <c r="H100" i="19"/>
  <c r="H73" i="19"/>
  <c r="H41" i="19"/>
  <c r="N77" i="19"/>
  <c r="N45" i="19"/>
  <c r="H72" i="19"/>
  <c r="H40" i="19"/>
  <c r="N88" i="19"/>
  <c r="N72" i="19"/>
  <c r="N56" i="19"/>
  <c r="N84" i="20"/>
  <c r="N43" i="20"/>
  <c r="N51" i="20"/>
  <c r="N94" i="20"/>
  <c r="N57" i="20"/>
  <c r="N37" i="20"/>
  <c r="H71" i="20"/>
  <c r="L55" i="17"/>
  <c r="L36" i="17"/>
  <c r="F44" i="17"/>
  <c r="L83" i="17"/>
  <c r="F73" i="17"/>
  <c r="L68" i="17"/>
  <c r="F76" i="17"/>
  <c r="H38" i="20"/>
  <c r="H40" i="20"/>
  <c r="H50" i="20"/>
  <c r="H60" i="20"/>
  <c r="H72" i="20"/>
  <c r="H82" i="20"/>
  <c r="H92" i="20"/>
  <c r="N36" i="20"/>
  <c r="N46" i="20"/>
  <c r="N56" i="20"/>
  <c r="N68" i="20"/>
  <c r="N78" i="20"/>
  <c r="N88" i="20"/>
  <c r="N100" i="20"/>
  <c r="H53" i="20"/>
  <c r="H73" i="20"/>
  <c r="H97" i="20"/>
  <c r="N53" i="20"/>
  <c r="N93" i="20"/>
  <c r="H99" i="20"/>
  <c r="N55" i="20"/>
  <c r="N67" i="20"/>
  <c r="H35" i="20"/>
  <c r="H55" i="20"/>
  <c r="H87" i="20"/>
  <c r="N81" i="20"/>
  <c r="N79" i="20"/>
  <c r="H52" i="20"/>
  <c r="H84" i="20"/>
  <c r="N38" i="20"/>
  <c r="N60" i="20"/>
  <c r="N80" i="20"/>
  <c r="H37" i="20"/>
  <c r="H81" i="20"/>
  <c r="N61" i="20"/>
  <c r="N39" i="20"/>
  <c r="N83" i="20"/>
  <c r="H63" i="20"/>
  <c r="N97" i="20"/>
  <c r="H36" i="20"/>
  <c r="H48" i="20"/>
  <c r="H58" i="20"/>
  <c r="H68" i="20"/>
  <c r="H80" i="20"/>
  <c r="H90" i="20"/>
  <c r="H100" i="20"/>
  <c r="N44" i="20"/>
  <c r="N54" i="20"/>
  <c r="N64" i="20"/>
  <c r="N76" i="20"/>
  <c r="N86" i="20"/>
  <c r="N96" i="20"/>
  <c r="H49" i="20"/>
  <c r="H69" i="20"/>
  <c r="H89" i="20"/>
  <c r="N45" i="20"/>
  <c r="N85" i="20"/>
  <c r="H83" i="20"/>
  <c r="N89" i="20"/>
  <c r="N59" i="20"/>
  <c r="N99" i="20"/>
  <c r="H51" i="20"/>
  <c r="H79" i="20"/>
  <c r="N49" i="20"/>
  <c r="N63" i="20"/>
  <c r="H42" i="20"/>
  <c r="H64" i="20"/>
  <c r="H74" i="20"/>
  <c r="H96" i="20"/>
  <c r="N48" i="20"/>
  <c r="N70" i="20"/>
  <c r="N92" i="20"/>
  <c r="H57" i="20"/>
  <c r="H101" i="20"/>
  <c r="H59" i="20"/>
  <c r="N71" i="20"/>
  <c r="H39" i="20"/>
  <c r="N35" i="20"/>
  <c r="N95" i="20"/>
  <c r="H34" i="20"/>
  <c r="H44" i="20"/>
  <c r="H56" i="20"/>
  <c r="H66" i="20"/>
  <c r="H76" i="20"/>
  <c r="H88" i="20"/>
  <c r="H98" i="20"/>
  <c r="N40" i="20"/>
  <c r="N52" i="20"/>
  <c r="H43" i="20"/>
  <c r="H75" i="20"/>
  <c r="H65" i="20"/>
  <c r="N72" i="20"/>
  <c r="H33" i="20"/>
  <c r="N91" i="20"/>
  <c r="N77" i="20"/>
  <c r="H41" i="20"/>
  <c r="N62" i="20"/>
  <c r="H92" i="19"/>
  <c r="H99" i="19"/>
  <c r="H74" i="19"/>
  <c r="H42" i="19"/>
  <c r="N83" i="19"/>
  <c r="N51" i="19"/>
  <c r="H79" i="19"/>
  <c r="H47" i="19"/>
  <c r="H76" i="19"/>
  <c r="H97" i="19"/>
  <c r="H66" i="19"/>
  <c r="H34" i="19"/>
  <c r="N71" i="19"/>
  <c r="N39" i="19"/>
  <c r="H94" i="19"/>
  <c r="H78" i="19"/>
  <c r="H62" i="19"/>
  <c r="H46" i="19"/>
  <c r="N97" i="19"/>
  <c r="N81" i="19"/>
  <c r="N65" i="19"/>
  <c r="N49" i="19"/>
  <c r="H91" i="19"/>
  <c r="H75" i="19"/>
  <c r="H59" i="19"/>
  <c r="H43" i="19"/>
  <c r="N98" i="19"/>
  <c r="N90" i="19"/>
  <c r="N82" i="19"/>
  <c r="N74" i="19"/>
  <c r="N66" i="19"/>
  <c r="N58" i="19"/>
  <c r="N50" i="19"/>
  <c r="N42" i="19"/>
  <c r="N34" i="19"/>
  <c r="H39" i="19"/>
  <c r="H85" i="19"/>
  <c r="H53" i="19"/>
  <c r="N91" i="19"/>
  <c r="N59" i="19"/>
  <c r="H84" i="19"/>
  <c r="H52" i="19"/>
  <c r="H87" i="19"/>
  <c r="H101" i="19"/>
  <c r="H77" i="19"/>
  <c r="H45" i="19"/>
  <c r="N79" i="19"/>
  <c r="N47" i="19"/>
  <c r="H96" i="19"/>
  <c r="H81" i="19"/>
  <c r="H65" i="19"/>
  <c r="H49" i="19"/>
  <c r="N101" i="19"/>
  <c r="N85" i="19"/>
  <c r="N69" i="19"/>
  <c r="N53" i="19"/>
  <c r="N37" i="19"/>
  <c r="H80" i="19"/>
  <c r="H64" i="19"/>
  <c r="H48" i="19"/>
  <c r="N100" i="19"/>
  <c r="N92" i="19"/>
  <c r="N84" i="19"/>
  <c r="N76" i="19"/>
  <c r="N68" i="19"/>
  <c r="N60" i="19"/>
  <c r="N52" i="19"/>
  <c r="N44" i="19"/>
  <c r="N36" i="19"/>
  <c r="F24" i="4"/>
  <c r="L63" i="17"/>
  <c r="L93" i="17"/>
  <c r="L84" i="17"/>
  <c r="L52" i="17"/>
  <c r="F89" i="17"/>
  <c r="F57" i="17"/>
  <c r="F92" i="17"/>
  <c r="F60" i="17"/>
  <c r="L81" i="17"/>
  <c r="L57" i="17"/>
  <c r="L61" i="17"/>
  <c r="L76" i="17"/>
  <c r="L44" i="17"/>
  <c r="F81" i="17"/>
  <c r="F49" i="17"/>
  <c r="F84" i="17"/>
  <c r="F52" i="17"/>
  <c r="L71" i="17"/>
  <c r="L51" i="17"/>
  <c r="L92" i="17"/>
  <c r="L60" i="17"/>
  <c r="F97" i="17"/>
  <c r="F65" i="17"/>
  <c r="F100" i="17"/>
  <c r="F68" i="17"/>
  <c r="F15" i="4"/>
  <c r="F23" i="4" s="1"/>
  <c r="F17" i="4"/>
  <c r="F25" i="4" s="1"/>
  <c r="F19" i="18"/>
  <c r="F38" i="18" s="1"/>
  <c r="F36" i="17"/>
  <c r="AF7" i="1"/>
  <c r="AG7" i="1"/>
  <c r="AH7" i="1"/>
  <c r="AI7" i="1"/>
  <c r="L14" i="1"/>
  <c r="K15" i="1"/>
  <c r="L15" i="1" s="1"/>
  <c r="T15" i="1" s="1"/>
  <c r="K24" i="1"/>
  <c r="L24" i="1" s="1"/>
  <c r="L23" i="1"/>
  <c r="L49" i="17"/>
  <c r="L97" i="17"/>
  <c r="L39" i="17"/>
  <c r="L47" i="17"/>
  <c r="L41" i="17"/>
  <c r="L75" i="17"/>
  <c r="L43" i="17"/>
  <c r="L85" i="17"/>
  <c r="L53" i="17"/>
  <c r="L98" i="17"/>
  <c r="L90" i="17"/>
  <c r="L82" i="17"/>
  <c r="L74" i="17"/>
  <c r="L66" i="17"/>
  <c r="L58" i="17"/>
  <c r="L50" i="17"/>
  <c r="L42" i="17"/>
  <c r="L34" i="17"/>
  <c r="F95" i="17"/>
  <c r="F87" i="17"/>
  <c r="F79" i="17"/>
  <c r="F71" i="17"/>
  <c r="F63" i="17"/>
  <c r="F55" i="17"/>
  <c r="F47" i="17"/>
  <c r="F39" i="17"/>
  <c r="F98" i="17"/>
  <c r="F90" i="17"/>
  <c r="F82" i="17"/>
  <c r="F74" i="17"/>
  <c r="F66" i="17"/>
  <c r="F58" i="17"/>
  <c r="F50" i="17"/>
  <c r="F42" i="17"/>
  <c r="F34" i="17"/>
  <c r="F19" i="20"/>
  <c r="F34" i="20" s="1"/>
  <c r="N24" i="1"/>
  <c r="N27" i="1" s="1"/>
  <c r="M24" i="1"/>
  <c r="M27" i="1" s="1"/>
  <c r="F33" i="17"/>
  <c r="L65" i="17"/>
  <c r="L95" i="17"/>
  <c r="L89" i="17"/>
  <c r="L99" i="17"/>
  <c r="L67" i="17"/>
  <c r="L35" i="17"/>
  <c r="L77" i="17"/>
  <c r="L45" i="17"/>
  <c r="L96" i="17"/>
  <c r="L88" i="17"/>
  <c r="L80" i="17"/>
  <c r="L72" i="17"/>
  <c r="L64" i="17"/>
  <c r="L56" i="17"/>
  <c r="L48" i="17"/>
  <c r="L40" i="17"/>
  <c r="F101" i="17"/>
  <c r="F93" i="17"/>
  <c r="F85" i="17"/>
  <c r="F77" i="17"/>
  <c r="F69" i="17"/>
  <c r="F61" i="17"/>
  <c r="F53" i="17"/>
  <c r="F45" i="17"/>
  <c r="F37" i="17"/>
  <c r="F96" i="17"/>
  <c r="F88" i="17"/>
  <c r="F80" i="17"/>
  <c r="F72" i="17"/>
  <c r="F64" i="17"/>
  <c r="F56" i="17"/>
  <c r="F48" i="17"/>
  <c r="F40" i="17"/>
  <c r="N47" i="20"/>
  <c r="N65" i="20"/>
  <c r="H95" i="20"/>
  <c r="H67" i="20"/>
  <c r="H47" i="20"/>
  <c r="N33" i="20"/>
  <c r="N75" i="20"/>
  <c r="N87" i="20"/>
  <c r="N73" i="20"/>
  <c r="H91" i="20"/>
  <c r="N101" i="20"/>
  <c r="N69" i="20"/>
  <c r="N41" i="20"/>
  <c r="H93" i="20"/>
  <c r="H77" i="20"/>
  <c r="H61" i="20"/>
  <c r="H45" i="20"/>
  <c r="N98" i="20"/>
  <c r="N90" i="20"/>
  <c r="N82" i="20"/>
  <c r="N74" i="20"/>
  <c r="N66" i="20"/>
  <c r="N58" i="20"/>
  <c r="N50" i="20"/>
  <c r="N42" i="20"/>
  <c r="N34" i="20"/>
  <c r="H94" i="20"/>
  <c r="H86" i="20"/>
  <c r="H78" i="20"/>
  <c r="H70" i="20"/>
  <c r="H62" i="20"/>
  <c r="H54" i="20"/>
  <c r="H46" i="20"/>
  <c r="AI6" i="1"/>
  <c r="AF6" i="1"/>
  <c r="AG6" i="1"/>
  <c r="AH6" i="1"/>
  <c r="F19" i="19"/>
  <c r="L42" i="19" s="1"/>
  <c r="L87" i="17"/>
  <c r="L33" i="17"/>
  <c r="L79" i="17"/>
  <c r="L73" i="17"/>
  <c r="L91" i="17"/>
  <c r="L59" i="17"/>
  <c r="L101" i="17"/>
  <c r="L69" i="17"/>
  <c r="L37" i="17"/>
  <c r="L94" i="17"/>
  <c r="L86" i="17"/>
  <c r="L78" i="17"/>
  <c r="L70" i="17"/>
  <c r="L62" i="17"/>
  <c r="L54" i="17"/>
  <c r="L46" i="17"/>
  <c r="L38" i="17"/>
  <c r="F99" i="17"/>
  <c r="F91" i="17"/>
  <c r="F83" i="17"/>
  <c r="F75" i="17"/>
  <c r="F67" i="17"/>
  <c r="F59" i="17"/>
  <c r="F51" i="17"/>
  <c r="F43" i="17"/>
  <c r="F35" i="17"/>
  <c r="F94" i="17"/>
  <c r="F86" i="17"/>
  <c r="F78" i="17"/>
  <c r="F70" i="17"/>
  <c r="F62" i="17"/>
  <c r="F54" i="17"/>
  <c r="F46" i="17"/>
  <c r="V5" i="1"/>
  <c r="W5" i="1" s="1"/>
  <c r="AE5" i="1"/>
  <c r="G16" i="4" l="1"/>
  <c r="N103" i="17"/>
  <c r="M61" i="1"/>
  <c r="L251" i="1"/>
  <c r="L252" i="1" s="1"/>
  <c r="L253" i="1" s="1"/>
  <c r="E15" i="4"/>
  <c r="E23" i="4" s="1"/>
  <c r="AI16" i="1"/>
  <c r="Z7" i="1"/>
  <c r="E17" i="4"/>
  <c r="E25" i="4" s="1"/>
  <c r="E16" i="4"/>
  <c r="E24" i="4" s="1"/>
  <c r="Y7" i="1"/>
  <c r="AA7" i="1"/>
  <c r="AH16" i="1"/>
  <c r="AC7" i="1"/>
  <c r="AG16" i="1"/>
  <c r="Z6" i="1"/>
  <c r="L27" i="1"/>
  <c r="L28" i="1" s="1"/>
  <c r="L29" i="1" s="1"/>
  <c r="H103" i="17"/>
  <c r="H103" i="18"/>
  <c r="N103" i="18"/>
  <c r="F103" i="17"/>
  <c r="L103" i="17"/>
  <c r="H103" i="19"/>
  <c r="N103" i="19"/>
  <c r="N103" i="20"/>
  <c r="H103" i="20"/>
  <c r="L71" i="20"/>
  <c r="Y6" i="1"/>
  <c r="AB6" i="1"/>
  <c r="AA6" i="1"/>
  <c r="AC6" i="1"/>
  <c r="L59" i="19"/>
  <c r="F69" i="20"/>
  <c r="L69" i="20"/>
  <c r="F83" i="20"/>
  <c r="L95" i="20"/>
  <c r="F92" i="20"/>
  <c r="F85" i="20"/>
  <c r="L86" i="20"/>
  <c r="F35" i="20"/>
  <c r="L80" i="20"/>
  <c r="F68" i="20"/>
  <c r="L78" i="20"/>
  <c r="L82" i="20"/>
  <c r="L64" i="20"/>
  <c r="F60" i="20"/>
  <c r="L85" i="20"/>
  <c r="L87" i="20"/>
  <c r="F99" i="20"/>
  <c r="F57" i="20"/>
  <c r="F100" i="20"/>
  <c r="F36" i="20"/>
  <c r="F101" i="19"/>
  <c r="L63" i="19"/>
  <c r="F33" i="19"/>
  <c r="F87" i="19"/>
  <c r="F54" i="19"/>
  <c r="L90" i="19"/>
  <c r="F34" i="19"/>
  <c r="L81" i="19"/>
  <c r="F95" i="19"/>
  <c r="F100" i="19"/>
  <c r="F55" i="19"/>
  <c r="L87" i="18"/>
  <c r="L100" i="18"/>
  <c r="F37" i="18"/>
  <c r="L65" i="18"/>
  <c r="L92" i="18"/>
  <c r="F101" i="18"/>
  <c r="F40" i="18"/>
  <c r="F72" i="18"/>
  <c r="L78" i="18"/>
  <c r="F69" i="18"/>
  <c r="L80" i="18"/>
  <c r="L94" i="18"/>
  <c r="L95" i="18"/>
  <c r="L73" i="18"/>
  <c r="L41" i="18"/>
  <c r="F77" i="18"/>
  <c r="F45" i="18"/>
  <c r="F80" i="18"/>
  <c r="F48" i="18"/>
  <c r="L53" i="20"/>
  <c r="F53" i="20"/>
  <c r="L55" i="20"/>
  <c r="L62" i="20"/>
  <c r="F67" i="20"/>
  <c r="L50" i="20"/>
  <c r="L63" i="20"/>
  <c r="L48" i="20"/>
  <c r="F84" i="20"/>
  <c r="F52" i="20"/>
  <c r="L44" i="18"/>
  <c r="L66" i="18"/>
  <c r="L70" i="18"/>
  <c r="L79" i="18"/>
  <c r="L57" i="18"/>
  <c r="F93" i="18"/>
  <c r="F61" i="18"/>
  <c r="F96" i="18"/>
  <c r="F64" i="18"/>
  <c r="L99" i="19"/>
  <c r="F92" i="19"/>
  <c r="L49" i="19"/>
  <c r="L58" i="19"/>
  <c r="L101" i="20"/>
  <c r="F101" i="20"/>
  <c r="F37" i="20"/>
  <c r="L94" i="20"/>
  <c r="L46" i="20"/>
  <c r="F51" i="20"/>
  <c r="F89" i="20"/>
  <c r="L96" i="20"/>
  <c r="L40" i="20"/>
  <c r="F76" i="20"/>
  <c r="F44" i="20"/>
  <c r="L96" i="18"/>
  <c r="L74" i="18"/>
  <c r="L38" i="18"/>
  <c r="L56" i="18"/>
  <c r="L49" i="18"/>
  <c r="F85" i="18"/>
  <c r="F53" i="18"/>
  <c r="F88" i="18"/>
  <c r="F56" i="18"/>
  <c r="F82" i="19"/>
  <c r="F80" i="19"/>
  <c r="F90" i="19"/>
  <c r="L91" i="19"/>
  <c r="L43" i="19"/>
  <c r="L87" i="19"/>
  <c r="F88" i="19"/>
  <c r="F68" i="19"/>
  <c r="F94" i="19"/>
  <c r="L101" i="19"/>
  <c r="L69" i="19"/>
  <c r="L37" i="19"/>
  <c r="F79" i="19"/>
  <c r="F47" i="19"/>
  <c r="L82" i="19"/>
  <c r="L50" i="19"/>
  <c r="AI5" i="1"/>
  <c r="AF5" i="1"/>
  <c r="AH5" i="1"/>
  <c r="AG5" i="1"/>
  <c r="Z5" i="1"/>
  <c r="AC5" i="1"/>
  <c r="AB5" i="1"/>
  <c r="AA5" i="1"/>
  <c r="Y5" i="1"/>
  <c r="L95" i="19"/>
  <c r="F64" i="19"/>
  <c r="F74" i="19"/>
  <c r="L75" i="19"/>
  <c r="L35" i="19"/>
  <c r="L71" i="19"/>
  <c r="F56" i="19"/>
  <c r="F60" i="19"/>
  <c r="F86" i="19"/>
  <c r="L97" i="19"/>
  <c r="L65" i="19"/>
  <c r="L33" i="19"/>
  <c r="F71" i="19"/>
  <c r="F39" i="19"/>
  <c r="L74" i="19"/>
  <c r="L40" i="19"/>
  <c r="L48" i="19"/>
  <c r="L56" i="19"/>
  <c r="L64" i="19"/>
  <c r="L72" i="19"/>
  <c r="L80" i="19"/>
  <c r="L88" i="19"/>
  <c r="L96" i="19"/>
  <c r="F37" i="19"/>
  <c r="F45" i="19"/>
  <c r="F53" i="19"/>
  <c r="F61" i="19"/>
  <c r="F69" i="19"/>
  <c r="F77" i="19"/>
  <c r="F85" i="19"/>
  <c r="F93" i="19"/>
  <c r="L45" i="19"/>
  <c r="L61" i="19"/>
  <c r="L77" i="19"/>
  <c r="L93" i="19"/>
  <c r="F46" i="19"/>
  <c r="F78" i="19"/>
  <c r="F98" i="19"/>
  <c r="F52" i="19"/>
  <c r="F84" i="19"/>
  <c r="F72" i="19"/>
  <c r="L55" i="19"/>
  <c r="F66" i="19"/>
  <c r="L51" i="19"/>
  <c r="L83" i="19"/>
  <c r="F58" i="19"/>
  <c r="F99" i="19"/>
  <c r="L47" i="19"/>
  <c r="F50" i="19"/>
  <c r="L36" i="19"/>
  <c r="L44" i="19"/>
  <c r="L52" i="19"/>
  <c r="L60" i="19"/>
  <c r="L68" i="19"/>
  <c r="L76" i="19"/>
  <c r="L84" i="19"/>
  <c r="L92" i="19"/>
  <c r="L100" i="19"/>
  <c r="F41" i="19"/>
  <c r="F49" i="19"/>
  <c r="F57" i="19"/>
  <c r="F65" i="19"/>
  <c r="F73" i="19"/>
  <c r="F81" i="19"/>
  <c r="L38" i="19"/>
  <c r="L46" i="19"/>
  <c r="L54" i="19"/>
  <c r="L62" i="19"/>
  <c r="L70" i="19"/>
  <c r="L78" i="19"/>
  <c r="L86" i="19"/>
  <c r="L94" i="19"/>
  <c r="F35" i="19"/>
  <c r="F43" i="19"/>
  <c r="F51" i="19"/>
  <c r="F59" i="19"/>
  <c r="F67" i="19"/>
  <c r="F75" i="19"/>
  <c r="F83" i="19"/>
  <c r="F91" i="19"/>
  <c r="L41" i="19"/>
  <c r="L57" i="19"/>
  <c r="L73" i="19"/>
  <c r="L89" i="19"/>
  <c r="F38" i="19"/>
  <c r="F70" i="19"/>
  <c r="F96" i="19"/>
  <c r="F44" i="19"/>
  <c r="F76" i="19"/>
  <c r="L79" i="19"/>
  <c r="F48" i="19"/>
  <c r="F42" i="19"/>
  <c r="L67" i="19"/>
  <c r="F97" i="19"/>
  <c r="L39" i="19"/>
  <c r="F40" i="19"/>
  <c r="F36" i="19"/>
  <c r="F62" i="19"/>
  <c r="L85" i="19"/>
  <c r="L53" i="19"/>
  <c r="F89" i="19"/>
  <c r="F63" i="19"/>
  <c r="L98" i="19"/>
  <c r="L66" i="19"/>
  <c r="L34" i="19"/>
  <c r="N28" i="1"/>
  <c r="N29" i="1"/>
  <c r="L70" i="20"/>
  <c r="L54" i="20"/>
  <c r="L39" i="20"/>
  <c r="F91" i="20"/>
  <c r="F75" i="20"/>
  <c r="F59" i="20"/>
  <c r="F43" i="20"/>
  <c r="L98" i="20"/>
  <c r="L66" i="20"/>
  <c r="L37" i="20"/>
  <c r="F73" i="20"/>
  <c r="F41" i="20"/>
  <c r="L79" i="20"/>
  <c r="L47" i="20"/>
  <c r="L88" i="20"/>
  <c r="L72" i="20"/>
  <c r="L56" i="20"/>
  <c r="L44" i="20"/>
  <c r="L36" i="20"/>
  <c r="F96" i="20"/>
  <c r="F88" i="20"/>
  <c r="F80" i="20"/>
  <c r="F72" i="20"/>
  <c r="F64" i="20"/>
  <c r="F56" i="20"/>
  <c r="F48" i="20"/>
  <c r="F40" i="20"/>
  <c r="F33" i="18"/>
  <c r="L42" i="18"/>
  <c r="L86" i="18"/>
  <c r="L52" i="18"/>
  <c r="L54" i="18"/>
  <c r="L99" i="18"/>
  <c r="L91" i="18"/>
  <c r="L83" i="18"/>
  <c r="L72" i="18"/>
  <c r="L40" i="18"/>
  <c r="L69" i="18"/>
  <c r="L61" i="18"/>
  <c r="L53" i="18"/>
  <c r="L45" i="18"/>
  <c r="L37" i="18"/>
  <c r="F97" i="18"/>
  <c r="F89" i="18"/>
  <c r="F81" i="18"/>
  <c r="F73" i="18"/>
  <c r="F65" i="18"/>
  <c r="F57" i="18"/>
  <c r="F49" i="18"/>
  <c r="F41" i="18"/>
  <c r="F100" i="18"/>
  <c r="F92" i="18"/>
  <c r="F84" i="18"/>
  <c r="F76" i="18"/>
  <c r="F68" i="18"/>
  <c r="F60" i="18"/>
  <c r="F52" i="18"/>
  <c r="F44" i="18"/>
  <c r="F36" i="18"/>
  <c r="M29" i="1"/>
  <c r="M28" i="1"/>
  <c r="L74" i="20"/>
  <c r="L41" i="20"/>
  <c r="F77" i="20"/>
  <c r="F45" i="20"/>
  <c r="L76" i="20"/>
  <c r="L97" i="20"/>
  <c r="L81" i="20"/>
  <c r="L65" i="20"/>
  <c r="L49" i="20"/>
  <c r="L35" i="20"/>
  <c r="F87" i="20"/>
  <c r="F71" i="20"/>
  <c r="F55" i="20"/>
  <c r="F39" i="20"/>
  <c r="L93" i="20"/>
  <c r="L61" i="20"/>
  <c r="F97" i="20"/>
  <c r="F65" i="20"/>
  <c r="L100" i="20"/>
  <c r="L68" i="20"/>
  <c r="L99" i="20"/>
  <c r="L83" i="20"/>
  <c r="L67" i="20"/>
  <c r="L51" i="20"/>
  <c r="L42" i="20"/>
  <c r="L34" i="20"/>
  <c r="F94" i="20"/>
  <c r="F86" i="20"/>
  <c r="F78" i="20"/>
  <c r="F70" i="20"/>
  <c r="F62" i="20"/>
  <c r="F54" i="20"/>
  <c r="F46" i="20"/>
  <c r="F38" i="20"/>
  <c r="L84" i="18"/>
  <c r="L88" i="18"/>
  <c r="L76" i="18"/>
  <c r="L33" i="18"/>
  <c r="L98" i="18"/>
  <c r="L82" i="18"/>
  <c r="L36" i="18"/>
  <c r="L46" i="18"/>
  <c r="L97" i="18"/>
  <c r="L89" i="18"/>
  <c r="L81" i="18"/>
  <c r="L64" i="18"/>
  <c r="L75" i="18"/>
  <c r="L67" i="18"/>
  <c r="L59" i="18"/>
  <c r="L51" i="18"/>
  <c r="L43" i="18"/>
  <c r="L35" i="18"/>
  <c r="F95" i="18"/>
  <c r="F87" i="18"/>
  <c r="F79" i="18"/>
  <c r="F71" i="18"/>
  <c r="F63" i="18"/>
  <c r="F55" i="18"/>
  <c r="F47" i="18"/>
  <c r="F39" i="18"/>
  <c r="F98" i="18"/>
  <c r="F90" i="18"/>
  <c r="F82" i="18"/>
  <c r="F74" i="18"/>
  <c r="F66" i="18"/>
  <c r="F58" i="18"/>
  <c r="F50" i="18"/>
  <c r="F42" i="18"/>
  <c r="F34" i="18"/>
  <c r="AE15" i="1"/>
  <c r="V15" i="1"/>
  <c r="W15" i="1" s="1"/>
  <c r="L90" i="20"/>
  <c r="L58" i="20"/>
  <c r="F93" i="20"/>
  <c r="F61" i="20"/>
  <c r="L92" i="20"/>
  <c r="L60" i="20"/>
  <c r="L89" i="20"/>
  <c r="L73" i="20"/>
  <c r="L57" i="20"/>
  <c r="L43" i="20"/>
  <c r="F95" i="20"/>
  <c r="F79" i="20"/>
  <c r="F63" i="20"/>
  <c r="F47" i="20"/>
  <c r="F33" i="20"/>
  <c r="L77" i="20"/>
  <c r="L45" i="20"/>
  <c r="F81" i="20"/>
  <c r="F49" i="20"/>
  <c r="L84" i="20"/>
  <c r="L52" i="20"/>
  <c r="L91" i="20"/>
  <c r="L75" i="20"/>
  <c r="L59" i="20"/>
  <c r="L33" i="20"/>
  <c r="L38" i="20"/>
  <c r="F98" i="20"/>
  <c r="F90" i="20"/>
  <c r="F82" i="20"/>
  <c r="F74" i="20"/>
  <c r="F66" i="20"/>
  <c r="F58" i="20"/>
  <c r="F50" i="20"/>
  <c r="F42" i="20"/>
  <c r="L17" i="1"/>
  <c r="L18" i="1" s="1"/>
  <c r="T14" i="1"/>
  <c r="L50" i="18"/>
  <c r="L60" i="18"/>
  <c r="L34" i="18"/>
  <c r="L58" i="18"/>
  <c r="L90" i="18"/>
  <c r="L68" i="18"/>
  <c r="L62" i="18"/>
  <c r="L101" i="18"/>
  <c r="L93" i="18"/>
  <c r="L85" i="18"/>
  <c r="L77" i="18"/>
  <c r="L48" i="18"/>
  <c r="L71" i="18"/>
  <c r="L63" i="18"/>
  <c r="L55" i="18"/>
  <c r="L47" i="18"/>
  <c r="L39" i="18"/>
  <c r="F99" i="18"/>
  <c r="F91" i="18"/>
  <c r="F83" i="18"/>
  <c r="F75" i="18"/>
  <c r="F67" i="18"/>
  <c r="F59" i="18"/>
  <c r="F51" i="18"/>
  <c r="F43" i="18"/>
  <c r="F35" i="18"/>
  <c r="F94" i="18"/>
  <c r="F86" i="18"/>
  <c r="F78" i="18"/>
  <c r="F70" i="18"/>
  <c r="F62" i="18"/>
  <c r="F54" i="18"/>
  <c r="F46" i="18"/>
  <c r="H16" i="4" l="1"/>
  <c r="H24" i="4" s="1"/>
  <c r="G24" i="4"/>
  <c r="H17" i="4"/>
  <c r="H25" i="4" s="1"/>
  <c r="L103" i="18"/>
  <c r="F103" i="18"/>
  <c r="F103" i="19"/>
  <c r="L103" i="19"/>
  <c r="L103" i="20"/>
  <c r="F103" i="20"/>
  <c r="R15" i="1"/>
  <c r="R18" i="1" s="1"/>
  <c r="R19" i="1" s="1"/>
  <c r="R21" i="1" s="1"/>
  <c r="R22" i="1" s="1"/>
  <c r="R14" i="1"/>
  <c r="V14" i="1"/>
  <c r="W14" i="1" s="1"/>
  <c r="AE14" i="1"/>
  <c r="AF15" i="1"/>
  <c r="AI15" i="1"/>
  <c r="AG15" i="1"/>
  <c r="AH15" i="1"/>
  <c r="Z15" i="1"/>
  <c r="AC15" i="1"/>
  <c r="AA15" i="1"/>
  <c r="Y15" i="1"/>
  <c r="AB15" i="1"/>
  <c r="X15" i="1"/>
  <c r="AH14" i="1" l="1"/>
  <c r="AF14" i="1"/>
  <c r="AG14" i="1"/>
  <c r="AI14" i="1"/>
  <c r="AB14" i="1"/>
  <c r="AC14" i="1"/>
  <c r="AA14" i="1"/>
  <c r="Y14" i="1"/>
  <c r="Z1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Kinderopvang De Eerste Stap</author>
  </authors>
  <commentList>
    <comment ref="H245" authorId="0" shapeId="0" xr:uid="{00000000-0006-0000-0700-000001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 ref="H257" authorId="0" shapeId="0" xr:uid="{00000000-0006-0000-0700-000002000000}">
      <text>
        <r>
          <rPr>
            <b/>
            <sz val="9"/>
            <color indexed="81"/>
            <rFont val="Tahoma"/>
            <family val="2"/>
          </rPr>
          <t>Kinderopvang De Eerste Stap:</t>
        </r>
        <r>
          <rPr>
            <sz val="9"/>
            <color indexed="81"/>
            <rFont val="Tahoma"/>
            <family val="2"/>
          </rPr>
          <t xml:space="preserve">
De afdeling Jonge Kind hebben 10 vrije vrijdagen in het schooljaar 2017-2018 (schoolgids Bolster 2017-2018)</t>
        </r>
      </text>
    </comment>
  </commentList>
</comments>
</file>

<file path=xl/sharedStrings.xml><?xml version="1.0" encoding="utf-8"?>
<sst xmlns="http://schemas.openxmlformats.org/spreadsheetml/2006/main" count="444" uniqueCount="135">
  <si>
    <t>1.</t>
  </si>
  <si>
    <t>Kies hier uw gezinsinkomen</t>
  </si>
  <si>
    <t>van</t>
  </si>
  <si>
    <t>tot</t>
  </si>
  <si>
    <t>lager dan</t>
  </si>
  <si>
    <t>(Klik op het bedrag en vervolgens op het pijltje)</t>
  </si>
  <si>
    <t>2.</t>
  </si>
  <si>
    <t xml:space="preserve">Opvangcontract
</t>
  </si>
  <si>
    <t>Bruto en netto kosten</t>
  </si>
  <si>
    <t>52 weken</t>
  </si>
  <si>
    <t>48 weken</t>
  </si>
  <si>
    <t>Bruto kosten</t>
  </si>
  <si>
    <r>
      <t>Netto maandprijs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</si>
  <si>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maandprijs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</si>
  <si>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3.</t>
  </si>
  <si>
    <t>Overige gegevens</t>
  </si>
  <si>
    <t>Uurprijzen</t>
  </si>
  <si>
    <t>Bruto uurprijs</t>
  </si>
  <si>
    <r>
      <t>Netto uurprijs 1</t>
    </r>
    <r>
      <rPr>
        <vertAlign val="superscript"/>
        <sz val="10"/>
        <color theme="1"/>
        <rFont val="Verdana"/>
        <family val="2"/>
      </rPr>
      <t>e</t>
    </r>
    <r>
      <rPr>
        <sz val="10"/>
        <color theme="1"/>
        <rFont val="Verdana"/>
        <family val="2"/>
      </rPr>
      <t xml:space="preserve"> kind</t>
    </r>
    <r>
      <rPr>
        <sz val="8"/>
        <color theme="1"/>
        <rFont val="Verdana"/>
        <family val="2"/>
      </rPr>
      <t xml:space="preserve"> (na aftrek ko-toeslag)</t>
    </r>
  </si>
  <si>
    <r>
      <t>Netto uurprijs 2</t>
    </r>
    <r>
      <rPr>
        <vertAlign val="superscript"/>
        <sz val="10"/>
        <color theme="1"/>
        <rFont val="Verdana"/>
        <family val="2"/>
      </rPr>
      <t>e</t>
    </r>
    <r>
      <rPr>
        <sz val="10"/>
        <color theme="1"/>
        <rFont val="Verdana"/>
        <family val="2"/>
      </rPr>
      <t xml:space="preserve"> kind e.v.</t>
    </r>
    <r>
      <rPr>
        <sz val="8"/>
        <color theme="1"/>
        <rFont val="Verdana"/>
        <family val="2"/>
      </rPr>
      <t xml:space="preserve"> (na aftrek ko-toeslag)</t>
    </r>
  </si>
  <si>
    <t>Aantal uren per opvangcontract</t>
  </si>
  <si>
    <t>Uren per jaar</t>
  </si>
  <si>
    <t>Gemiddelde uren per maand</t>
  </si>
  <si>
    <t>Deze voorbeeldberekening is met de grootst mogelijke zorgvuldigheid tot stand gebracht, met de meest recente informatie van de Rijksoverheid. Ondanks alle zorgvuldigheid kunnen er echter fouten optreden. Er kunnen geen rechten ontleend worden aan deze voorbeeldberekening.</t>
  </si>
  <si>
    <t>Ouderbijdragetabel Wet Kinderopvang 2022</t>
  </si>
  <si>
    <t>(bron: Staatsblad van het Koninkrijk der Nederlanden)</t>
  </si>
  <si>
    <t>Bereken de netto kosten van de opvang als volgt:</t>
  </si>
  <si>
    <t>Stap 1:</t>
  </si>
  <si>
    <t>Zoek uw gezamenlijk toetsingsinkomen (of verzamelinkomen) op.</t>
  </si>
  <si>
    <t>Stap 2:</t>
  </si>
  <si>
    <r>
      <t xml:space="preserve">Zoek de netto bijbehorende netto uurprijs op voor het kind met de </t>
    </r>
    <r>
      <rPr>
        <b/>
        <sz val="10"/>
        <color indexed="8"/>
        <rFont val="Tahoma"/>
        <family val="2"/>
      </rPr>
      <t xml:space="preserve">meeste </t>
    </r>
    <r>
      <rPr>
        <sz val="10"/>
        <color theme="1"/>
        <rFont val="Arial"/>
        <family val="2"/>
      </rPr>
      <t>opvanguren.</t>
    </r>
  </si>
  <si>
    <t>Vermenigvuldig de netto uurprijs met het aantal uren opvang per maand. U heeft nu</t>
  </si>
  <si>
    <t>de netto kosten per maand voor dit kind.</t>
  </si>
  <si>
    <t>Stap 3:</t>
  </si>
  <si>
    <r>
      <t xml:space="preserve">Zoek de bijbehorende netto uurprijs op voor het kind met de </t>
    </r>
    <r>
      <rPr>
        <b/>
        <sz val="10"/>
        <color indexed="8"/>
        <rFont val="Tahoma"/>
        <family val="2"/>
      </rPr>
      <t xml:space="preserve">minste </t>
    </r>
    <r>
      <rPr>
        <sz val="10"/>
        <color theme="1"/>
        <rFont val="Arial"/>
        <family val="2"/>
      </rPr>
      <t>opvanguren.</t>
    </r>
  </si>
  <si>
    <t>geen toeslag over:</t>
  </si>
  <si>
    <t>KDO toeslag over maximaal:</t>
  </si>
  <si>
    <t>BSO toeslag over maximaal:</t>
  </si>
  <si>
    <t>Stap 1</t>
  </si>
  <si>
    <t>Stap 2</t>
  </si>
  <si>
    <t>Stap 3</t>
  </si>
  <si>
    <t>(Gezamenlijk)</t>
  </si>
  <si>
    <t>Tegemoetkoming</t>
  </si>
  <si>
    <t>toetsingsinkomen</t>
  </si>
  <si>
    <t>Overheid</t>
  </si>
  <si>
    <t>2A</t>
  </si>
  <si>
    <t>2B</t>
  </si>
  <si>
    <t>3A</t>
  </si>
  <si>
    <t>3B</t>
  </si>
  <si>
    <t>Index 2021-22</t>
  </si>
  <si>
    <t>uurprijs KDO</t>
  </si>
  <si>
    <t>uurprijs BSO</t>
  </si>
  <si>
    <t>eerste</t>
  </si>
  <si>
    <t>netto</t>
  </si>
  <si>
    <t>tweede en</t>
  </si>
  <si>
    <t>kind</t>
  </si>
  <si>
    <t>uurprijs</t>
  </si>
  <si>
    <t>volgende kind</t>
  </si>
  <si>
    <t>en hoger</t>
  </si>
  <si>
    <t>uur</t>
  </si>
  <si>
    <t>bruto</t>
  </si>
  <si>
    <t>opslag</t>
  </si>
  <si>
    <t>uurtarief:</t>
  </si>
  <si>
    <t>uren/dag/jaar</t>
  </si>
  <si>
    <t>Bedrag per maand</t>
  </si>
  <si>
    <t>Uren per maand</t>
  </si>
  <si>
    <t>Standaard 2011</t>
  </si>
  <si>
    <t>maandag</t>
  </si>
  <si>
    <t>dinsdag</t>
  </si>
  <si>
    <t>woensdag</t>
  </si>
  <si>
    <t>donderdag</t>
  </si>
  <si>
    <t>vrijdag</t>
  </si>
  <si>
    <t>VSO</t>
  </si>
  <si>
    <t>BSO</t>
  </si>
  <si>
    <t>NSO</t>
  </si>
  <si>
    <t>Gewogen</t>
  </si>
  <si>
    <t>Schoolweken</t>
  </si>
  <si>
    <t>Vakantie</t>
  </si>
  <si>
    <t>Standaard 2013</t>
  </si>
  <si>
    <t>Totaal verlies aan factureerbare uren</t>
  </si>
  <si>
    <t>Totaal verlies aan inkomsten</t>
  </si>
  <si>
    <t>Inkomsten in huidige begroting</t>
  </si>
  <si>
    <t>Verlies inkomsten i.v.m. 2011</t>
  </si>
  <si>
    <t>Verlies uitsluitend opvangcontracten continuerooster (40 weken school en 12 vakantie) is 6,8%</t>
  </si>
  <si>
    <t>Inkomsten nieuw</t>
  </si>
  <si>
    <t>Inclusief verrekening feestdagen (40 weken school en 12 vakantie) is dat 11,1%</t>
  </si>
  <si>
    <t>Kosten in huidige begroting</t>
  </si>
  <si>
    <t>Resultaat</t>
  </si>
  <si>
    <t>Totaal 52 weken</t>
  </si>
  <si>
    <t>Totaal 48 weken</t>
  </si>
  <si>
    <t>Totaal 40 weken</t>
  </si>
  <si>
    <t>Rendement</t>
  </si>
  <si>
    <t>Opvangcontract</t>
  </si>
  <si>
    <t>Continurooster</t>
  </si>
  <si>
    <t>NSO++</t>
  </si>
  <si>
    <t>in uren</t>
  </si>
  <si>
    <t>geïndexeerd</t>
  </si>
  <si>
    <t>Percentage deelname</t>
  </si>
  <si>
    <t>Index prijs</t>
  </si>
  <si>
    <t>Verlies uitsluitend feestagen (40 weken school en 12 vakantie) is 4%</t>
  </si>
  <si>
    <t>Verlies opvangcontracten inclusief feest, inclusief</t>
  </si>
  <si>
    <t>schoolweken is,</t>
  </si>
  <si>
    <t>ten opzichte van 2011.</t>
  </si>
  <si>
    <t xml:space="preserve"> </t>
  </si>
  <si>
    <t>5 gelijke dagen (NSO 14,00 tot 19.00 uur / vakantie van 8.30-18.00) GEEN VSO</t>
  </si>
  <si>
    <t>Schoolwkn</t>
  </si>
  <si>
    <t>Vakantiewkn</t>
  </si>
  <si>
    <t>Totaal</t>
  </si>
  <si>
    <t>Onderbouw</t>
  </si>
  <si>
    <t>1 tm 4</t>
  </si>
  <si>
    <t xml:space="preserve">
08.30-14.00</t>
  </si>
  <si>
    <t>per jaar</t>
  </si>
  <si>
    <t xml:space="preserve">per jaar
</t>
  </si>
  <si>
    <t>Bovenbouw</t>
  </si>
  <si>
    <t>5 tm 8</t>
  </si>
  <si>
    <t>40 weken</t>
  </si>
  <si>
    <t>x</t>
  </si>
  <si>
    <t>Bolster tot 18 uur</t>
  </si>
  <si>
    <t>schooltijden gecontroleerd 13-10-2022</t>
  </si>
  <si>
    <t>8.45-14.15</t>
  </si>
  <si>
    <t>De Bogaard/Ravelijn tot 18 uur</t>
  </si>
  <si>
    <t>1 tm 2</t>
  </si>
  <si>
    <t>8.30-14.15</t>
  </si>
  <si>
    <t>3 tm 4</t>
  </si>
  <si>
    <t>46 weken</t>
  </si>
  <si>
    <t>5-gelijke-dagen 14u-18u m.u.v. Bogaard/Ravelijn en Bolster incl. 5 studiedagen</t>
  </si>
  <si>
    <t>De Bogaard/Ravelijn 5-gelijke-dagen 14.15u-18.00u incl. 5 studiedagen</t>
  </si>
  <si>
    <t>De Bolster tot 18.00u  incl. 5 studiedagen</t>
  </si>
  <si>
    <t>40 weken in 
11 maanden*</t>
  </si>
  <si>
    <t>40 weken**</t>
  </si>
  <si>
    <t>40 weken in 
11 maanden**</t>
  </si>
  <si>
    <t>(Zie voor het aantal uren opvang per maand de aan u toegestuurde "Bijlage bij overeenkomst 2026)</t>
  </si>
  <si>
    <t>Voorbeeldberekening 2026 BSO Bij Ons Nijmegen</t>
  </si>
  <si>
    <t>In de berekeningen is rekening gehouden met een maximum uurprijs voor kinderopvangtoeslag van € 9,98 voor de BSO en een indexatie van de inkomenstabel conform het besluit Kinderopvangtoeslag 2026.</t>
  </si>
  <si>
    <t>Overzicht van de kosten per maand                                         voor één dag per week opvang (prijzen per 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</si>
</sst>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 #,##0;&quot;€&quot;\ \-#,##0"/>
    <numFmt numFmtId="6" formatCode="&quot;€&quot;\ #,##0;[Red]&quot;€&quot;\ \-#,##0"/>
    <numFmt numFmtId="8" formatCode="&quot;€&quot;\ #,##0.00;[Red]&quot;€&quot;\ \-#,##0.00"/>
    <numFmt numFmtId="44" formatCode="_ &quot;€&quot;\ * #,##0.00_ ;_ &quot;€&quot;\ * \-#,##0.00_ ;_ &quot;€&quot;\ * &quot;-&quot;??_ ;_ @_ "/>
    <numFmt numFmtId="43" formatCode="_ * #,##0.00_ ;_ * \-#,##0.00_ ;_ * &quot;-&quot;??_ ;_ @_ "/>
    <numFmt numFmtId="164" formatCode="0.0%"/>
    <numFmt numFmtId="165" formatCode="_ * #,##0_ ;_ * \-#,##0_ ;_ * &quot;-&quot;??_ ;_ @_ "/>
    <numFmt numFmtId="166" formatCode="&quot;€&quot;\ #,##0.00"/>
    <numFmt numFmtId="167" formatCode="_-&quot;€&quot;\ * #,##0_-;_-&quot;€&quot;\ * #,##0\-;_-&quot;€&quot;\ * &quot;-&quot;??_-;_-@_-"/>
    <numFmt numFmtId="168" formatCode="_-&quot;€&quot;\ * #,##0.00_-;_-&quot;€&quot;\ * #,##0.00\-;_-&quot;€&quot;\ * &quot;-&quot;??_-;_-@_-"/>
    <numFmt numFmtId="169" formatCode="_ * #,##0.0_ ;_ * \-#,##0.0_ ;_ * &quot;-&quot;?_ ;_ @_ "/>
    <numFmt numFmtId="170" formatCode="_ * #,##0.0_ ;_ * \-#,##0.0_ ;_ * &quot;-&quot;??_ ;_ @_ "/>
    <numFmt numFmtId="171" formatCode="_ &quot;€&quot;\ * #,##0_ ;_ &quot;€&quot;\ * \-#,##0_ ;_ &quot;€&quot;\ * &quot;-&quot;??_ ;_ @_ "/>
    <numFmt numFmtId="172" formatCode="#,##0_ ;\-#,##0\ "/>
    <numFmt numFmtId="173" formatCode="_ * #,##0.000_ ;_ * \-#,##0.000_ ;_ * &quot;-&quot;??_ ;_ @_ "/>
    <numFmt numFmtId="174" formatCode="_-&quot;€&quot;\ * #,##0.00000_-;_-&quot;€&quot;\ * #,##0.00000\-;_-&quot;€&quot;\ * &quot;-&quot;??_-;_-@_-"/>
    <numFmt numFmtId="175" formatCode="&quot;€&quot;\ #,##0"/>
  </numFmts>
  <fonts count="67" x14ac:knownFonts="1">
    <font>
      <sz val="10"/>
      <color theme="1"/>
      <name val="Arial"/>
      <family val="2"/>
    </font>
    <font>
      <sz val="9"/>
      <color theme="1"/>
      <name val="Verdana"/>
      <family val="2"/>
    </font>
    <font>
      <sz val="10"/>
      <color theme="1"/>
      <name val="Verdana"/>
      <family val="2"/>
    </font>
    <font>
      <sz val="9"/>
      <color theme="1"/>
      <name val="Verdana"/>
      <family val="2"/>
    </font>
    <font>
      <sz val="9"/>
      <color theme="1"/>
      <name val="Verdana"/>
      <family val="2"/>
    </font>
    <font>
      <sz val="10"/>
      <color theme="1"/>
      <name val="Arial"/>
      <family val="2"/>
    </font>
    <font>
      <sz val="10"/>
      <color rgb="FFFF0000"/>
      <name val="Arial"/>
      <family val="2"/>
    </font>
    <font>
      <b/>
      <sz val="10"/>
      <color theme="1"/>
      <name val="Arial"/>
      <family val="2"/>
    </font>
    <font>
      <sz val="10"/>
      <name val="Arial"/>
      <family val="2"/>
    </font>
    <font>
      <sz val="10"/>
      <color theme="0" tint="-0.249977111117893"/>
      <name val="Arial"/>
      <family val="2"/>
    </font>
    <font>
      <i/>
      <sz val="10"/>
      <color theme="1"/>
      <name val="Arial"/>
      <family val="2"/>
    </font>
    <font>
      <b/>
      <i/>
      <sz val="10"/>
      <color theme="1"/>
      <name val="Arial"/>
      <family val="2"/>
    </font>
    <font>
      <i/>
      <sz val="10"/>
      <color theme="0" tint="-0.499984740745262"/>
      <name val="Arial"/>
      <family val="2"/>
    </font>
    <font>
      <i/>
      <sz val="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sz val="10"/>
      <color rgb="FF00B050"/>
      <name val="Arial"/>
      <family val="2"/>
    </font>
    <font>
      <i/>
      <sz val="10"/>
      <color rgb="FF00B050"/>
      <name val="Arial"/>
      <family val="2"/>
    </font>
    <font>
      <b/>
      <sz val="16"/>
      <color theme="1"/>
      <name val="Tahoma"/>
      <family val="2"/>
    </font>
    <font>
      <b/>
      <sz val="11"/>
      <color theme="1"/>
      <name val="Tahoma"/>
      <family val="2"/>
    </font>
    <font>
      <b/>
      <sz val="12"/>
      <color theme="1"/>
      <name val="Tahoma"/>
      <family val="2"/>
    </font>
    <font>
      <b/>
      <sz val="10"/>
      <color theme="1"/>
      <name val="Tahoma"/>
      <family val="2"/>
    </font>
    <font>
      <sz val="10"/>
      <color theme="1"/>
      <name val="Tahoma"/>
      <family val="2"/>
    </font>
    <font>
      <i/>
      <sz val="10"/>
      <color theme="1"/>
      <name val="Tahoma"/>
      <family val="2"/>
    </font>
    <font>
      <sz val="10"/>
      <color rgb="FF000000"/>
      <name val="Calibri"/>
      <family val="2"/>
    </font>
    <font>
      <sz val="11"/>
      <color rgb="FF000000"/>
      <name val="Calibri"/>
      <family val="2"/>
    </font>
    <font>
      <sz val="12"/>
      <color rgb="FF000000"/>
      <name val="Calibri"/>
      <family val="2"/>
    </font>
    <font>
      <sz val="12"/>
      <color theme="1"/>
      <name val="Arial"/>
      <family val="2"/>
    </font>
    <font>
      <b/>
      <sz val="10"/>
      <color rgb="FFFF0000"/>
      <name val="Arial"/>
      <family val="2"/>
    </font>
    <font>
      <sz val="12"/>
      <name val="Arial"/>
      <family val="2"/>
    </font>
    <font>
      <b/>
      <sz val="10"/>
      <color indexed="8"/>
      <name val="Tahoma"/>
      <family val="2"/>
    </font>
    <font>
      <sz val="10"/>
      <color rgb="FF7030A0"/>
      <name val="Arial"/>
      <family val="2"/>
    </font>
    <font>
      <strike/>
      <sz val="10"/>
      <color theme="1"/>
      <name val="Arial"/>
      <family val="2"/>
    </font>
    <font>
      <sz val="9"/>
      <color rgb="FF000000"/>
      <name val="Arial"/>
      <family val="2"/>
    </font>
    <font>
      <b/>
      <sz val="18"/>
      <color theme="1"/>
      <name val="Verdana"/>
      <family val="2"/>
    </font>
    <font>
      <sz val="10"/>
      <color theme="1"/>
      <name val="Verdana"/>
      <family val="2"/>
    </font>
    <font>
      <b/>
      <sz val="20"/>
      <color theme="1"/>
      <name val="Verdana"/>
      <family val="2"/>
    </font>
    <font>
      <sz val="12"/>
      <color theme="1"/>
      <name val="Verdana"/>
      <family val="2"/>
    </font>
    <font>
      <b/>
      <sz val="12"/>
      <color theme="1"/>
      <name val="Verdana"/>
      <family val="2"/>
    </font>
    <font>
      <b/>
      <sz val="10"/>
      <color theme="1"/>
      <name val="Verdana"/>
      <family val="2"/>
    </font>
    <font>
      <b/>
      <i/>
      <sz val="10"/>
      <color theme="1"/>
      <name val="Verdana"/>
      <family val="2"/>
    </font>
    <font>
      <sz val="12"/>
      <name val="Verdana"/>
      <family val="2"/>
    </font>
    <font>
      <b/>
      <sz val="12"/>
      <name val="Verdana"/>
      <family val="2"/>
    </font>
    <font>
      <i/>
      <sz val="10"/>
      <color theme="1"/>
      <name val="Verdana"/>
      <family val="2"/>
    </font>
    <font>
      <sz val="10"/>
      <color rgb="FF3F3F76"/>
      <name val="Verdana"/>
      <family val="2"/>
    </font>
    <font>
      <sz val="12"/>
      <color rgb="FF7030A0"/>
      <name val="Verdana"/>
      <family val="2"/>
    </font>
    <font>
      <b/>
      <sz val="11"/>
      <color theme="1"/>
      <name val="Verdana"/>
      <family val="2"/>
    </font>
    <font>
      <b/>
      <sz val="10"/>
      <name val="Verdana"/>
      <family val="2"/>
    </font>
    <font>
      <sz val="10"/>
      <name val="Verdana"/>
      <family val="2"/>
    </font>
    <font>
      <vertAlign val="superscript"/>
      <sz val="10"/>
      <color theme="1"/>
      <name val="Verdana"/>
      <family val="2"/>
    </font>
    <font>
      <sz val="8"/>
      <color theme="1"/>
      <name val="Verdana"/>
      <family val="2"/>
    </font>
    <font>
      <sz val="9"/>
      <color indexed="81"/>
      <name val="Tahoma"/>
      <family val="2"/>
    </font>
    <font>
      <b/>
      <sz val="9"/>
      <color indexed="81"/>
      <name val="Tahoma"/>
      <family val="2"/>
    </font>
    <font>
      <sz val="9"/>
      <color rgb="FF333333"/>
      <name val="Verdana"/>
      <family val="2"/>
    </font>
    <font>
      <sz val="8"/>
      <color theme="1"/>
      <name val="Arial"/>
      <family val="2"/>
    </font>
  </fonts>
  <fills count="48">
    <fill>
      <patternFill patternType="none"/>
    </fill>
    <fill>
      <patternFill patternType="gray125"/>
    </fill>
    <fill>
      <patternFill patternType="solid">
        <fgColor theme="6" tint="0.79998168889431442"/>
        <bgColor indexed="64"/>
      </patternFill>
    </fill>
    <fill>
      <patternFill patternType="solid">
        <fgColor rgb="FF92D05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indexed="22"/>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99"/>
        <bgColor indexed="64"/>
      </patternFill>
    </fill>
    <fill>
      <patternFill patternType="solid">
        <fgColor theme="7" tint="0.59999389629810485"/>
        <bgColor indexed="64"/>
      </patternFill>
    </fill>
    <fill>
      <patternFill patternType="solid">
        <fgColor theme="3" tint="0.39997558519241921"/>
        <bgColor indexed="64"/>
      </patternFill>
    </fill>
    <fill>
      <patternFill patternType="solid">
        <fgColor rgb="FFFFFFFF"/>
        <bgColor indexed="64"/>
      </patternFill>
    </fill>
    <fill>
      <patternFill patternType="solid">
        <fgColor theme="9" tint="0.59999389629810485"/>
        <bgColor indexed="64"/>
      </patternFill>
    </fill>
  </fills>
  <borders count="4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rgb="FF888888"/>
      </left>
      <right style="medium">
        <color rgb="FF888888"/>
      </right>
      <top style="medium">
        <color rgb="FF888888"/>
      </top>
      <bottom style="medium">
        <color rgb="FF88888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3">
    <xf numFmtId="0" fontId="0" fillId="0" borderId="0"/>
    <xf numFmtId="43" fontId="5" fillId="0" borderId="0" applyFont="0" applyFill="0" applyBorder="0" applyAlignment="0" applyProtection="0"/>
    <xf numFmtId="9" fontId="5" fillId="0" borderId="0" applyFont="0" applyFill="0" applyBorder="0" applyAlignment="0" applyProtection="0"/>
    <xf numFmtId="0" fontId="14" fillId="0" borderId="0" applyNumberFormat="0" applyFill="0" applyBorder="0" applyAlignment="0" applyProtection="0"/>
    <xf numFmtId="0" fontId="15" fillId="0" borderId="21" applyNumberFormat="0" applyFill="0" applyAlignment="0" applyProtection="0"/>
    <xf numFmtId="0" fontId="16" fillId="0" borderId="22" applyNumberFormat="0" applyFill="0" applyAlignment="0" applyProtection="0"/>
    <xf numFmtId="0" fontId="17" fillId="0" borderId="23" applyNumberFormat="0" applyFill="0" applyAlignment="0" applyProtection="0"/>
    <xf numFmtId="0" fontId="17" fillId="0" borderId="0" applyNumberFormat="0" applyFill="0" applyBorder="0" applyAlignment="0" applyProtection="0"/>
    <xf numFmtId="0" fontId="18" fillId="1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24" applyNumberFormat="0" applyAlignment="0" applyProtection="0"/>
    <xf numFmtId="0" fontId="22" fillId="14" borderId="25" applyNumberFormat="0" applyAlignment="0" applyProtection="0"/>
    <xf numFmtId="0" fontId="23" fillId="14" borderId="24" applyNumberFormat="0" applyAlignment="0" applyProtection="0"/>
    <xf numFmtId="0" fontId="24" fillId="0" borderId="26" applyNumberFormat="0" applyFill="0" applyAlignment="0" applyProtection="0"/>
    <xf numFmtId="0" fontId="25" fillId="15" borderId="27" applyNumberFormat="0" applyAlignment="0" applyProtection="0"/>
    <xf numFmtId="0" fontId="6" fillId="0" borderId="0" applyNumberFormat="0" applyFill="0" applyBorder="0" applyAlignment="0" applyProtection="0"/>
    <xf numFmtId="0" fontId="5" fillId="16" borderId="28" applyNumberFormat="0" applyFont="0" applyAlignment="0" applyProtection="0"/>
    <xf numFmtId="0" fontId="26" fillId="0" borderId="0" applyNumberFormat="0" applyFill="0" applyBorder="0" applyAlignment="0" applyProtection="0"/>
    <xf numFmtId="0" fontId="7" fillId="0" borderId="29" applyNumberFormat="0" applyFill="0" applyAlignment="0" applyProtection="0"/>
    <xf numFmtId="0" fontId="2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7" fillId="40" borderId="0" applyNumberFormat="0" applyBorder="0" applyAlignment="0" applyProtection="0"/>
    <xf numFmtId="44" fontId="5" fillId="0" borderId="0" applyFont="0" applyFill="0" applyBorder="0" applyAlignment="0" applyProtection="0"/>
    <xf numFmtId="0" fontId="4" fillId="0" borderId="0"/>
    <xf numFmtId="0" fontId="3"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5" fillId="0" borderId="21" applyNumberFormat="0" applyFill="0" applyAlignment="0" applyProtection="0"/>
    <xf numFmtId="0" fontId="16" fillId="0" borderId="22" applyNumberFormat="0" applyFill="0" applyAlignment="0" applyProtection="0"/>
    <xf numFmtId="0" fontId="17" fillId="0" borderId="23" applyNumberFormat="0" applyFill="0" applyAlignment="0" applyProtection="0"/>
    <xf numFmtId="0" fontId="17" fillId="0" borderId="0" applyNumberFormat="0" applyFill="0" applyBorder="0" applyAlignment="0" applyProtection="0"/>
    <xf numFmtId="0" fontId="18" fillId="10" borderId="0" applyNumberFormat="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13" borderId="24" applyNumberFormat="0" applyAlignment="0" applyProtection="0"/>
    <xf numFmtId="0" fontId="22" fillId="14" borderId="25" applyNumberFormat="0" applyAlignment="0" applyProtection="0"/>
    <xf numFmtId="0" fontId="23" fillId="14" borderId="24" applyNumberFormat="0" applyAlignment="0" applyProtection="0"/>
    <xf numFmtId="0" fontId="24" fillId="0" borderId="26" applyNumberFormat="0" applyFill="0" applyAlignment="0" applyProtection="0"/>
    <xf numFmtId="0" fontId="25" fillId="15" borderId="27" applyNumberFormat="0" applyAlignment="0" applyProtection="0"/>
    <xf numFmtId="0" fontId="6" fillId="0" borderId="0" applyNumberFormat="0" applyFill="0" applyBorder="0" applyAlignment="0" applyProtection="0"/>
    <xf numFmtId="0" fontId="5" fillId="16" borderId="28" applyNumberFormat="0" applyFont="0" applyAlignment="0" applyProtection="0"/>
    <xf numFmtId="0" fontId="26" fillId="0" borderId="0" applyNumberFormat="0" applyFill="0" applyBorder="0" applyAlignment="0" applyProtection="0"/>
    <xf numFmtId="0" fontId="7" fillId="0" borderId="29" applyNumberFormat="0" applyFill="0" applyAlignment="0" applyProtection="0"/>
    <xf numFmtId="0" fontId="27"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5" fillId="38" borderId="0" applyNumberFormat="0" applyBorder="0" applyAlignment="0" applyProtection="0"/>
    <xf numFmtId="0" fontId="5" fillId="39" borderId="0" applyNumberFormat="0" applyBorder="0" applyAlignment="0" applyProtection="0"/>
    <xf numFmtId="0" fontId="27" fillId="40" borderId="0" applyNumberFormat="0" applyBorder="0" applyAlignment="0" applyProtection="0"/>
    <xf numFmtId="44" fontId="5"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cellStyleXfs>
  <cellXfs count="316">
    <xf numFmtId="0" fontId="0" fillId="0" borderId="0" xfId="0"/>
    <xf numFmtId="0" fontId="0" fillId="3" borderId="5" xfId="0" applyFill="1"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0" xfId="0" applyAlignment="1">
      <alignment wrapText="1"/>
    </xf>
    <xf numFmtId="0" fontId="6" fillId="0" borderId="0" xfId="0" applyFont="1"/>
    <xf numFmtId="0" fontId="0" fillId="0" borderId="10" xfId="0" applyBorder="1"/>
    <xf numFmtId="0" fontId="0" fillId="0" borderId="1" xfId="0" applyBorder="1"/>
    <xf numFmtId="2" fontId="0" fillId="0" borderId="0" xfId="0" applyNumberFormat="1"/>
    <xf numFmtId="0" fontId="0" fillId="3" borderId="6" xfId="0" applyFill="1" applyBorder="1"/>
    <xf numFmtId="0" fontId="8" fillId="0" borderId="0" xfId="0" applyFont="1"/>
    <xf numFmtId="166" fontId="0" fillId="0" borderId="0" xfId="0" applyNumberFormat="1"/>
    <xf numFmtId="166" fontId="7" fillId="0" borderId="0" xfId="0" applyNumberFormat="1" applyFont="1"/>
    <xf numFmtId="0" fontId="7" fillId="0" borderId="0" xfId="0" applyFont="1" applyAlignment="1">
      <alignment horizontal="right"/>
    </xf>
    <xf numFmtId="0" fontId="7" fillId="0" borderId="0" xfId="0" applyFont="1"/>
    <xf numFmtId="166" fontId="9" fillId="0" borderId="0" xfId="0" applyNumberFormat="1" applyFont="1"/>
    <xf numFmtId="0" fontId="10" fillId="0" borderId="13" xfId="0" applyFont="1" applyBorder="1"/>
    <xf numFmtId="0" fontId="10" fillId="0" borderId="0" xfId="0" applyFont="1"/>
    <xf numFmtId="0" fontId="11" fillId="0" borderId="0" xfId="0" applyFont="1" applyAlignment="1">
      <alignment horizontal="right"/>
    </xf>
    <xf numFmtId="166" fontId="11" fillId="0" borderId="0" xfId="0" applyNumberFormat="1" applyFont="1"/>
    <xf numFmtId="0" fontId="11" fillId="0" borderId="0" xfId="0" applyFont="1"/>
    <xf numFmtId="0" fontId="10" fillId="0" borderId="15" xfId="0" applyFont="1" applyBorder="1"/>
    <xf numFmtId="2" fontId="10" fillId="0" borderId="0" xfId="0" applyNumberFormat="1" applyFont="1"/>
    <xf numFmtId="166" fontId="10" fillId="0" borderId="0" xfId="0" applyNumberFormat="1" applyFont="1"/>
    <xf numFmtId="166" fontId="12" fillId="0" borderId="0" xfId="0" applyNumberFormat="1" applyFont="1"/>
    <xf numFmtId="0" fontId="10" fillId="0" borderId="17" xfId="0" applyFont="1" applyBorder="1"/>
    <xf numFmtId="0" fontId="10" fillId="0" borderId="18" xfId="0" applyFont="1" applyBorder="1"/>
    <xf numFmtId="166" fontId="7" fillId="0" borderId="0" xfId="0" applyNumberFormat="1" applyFont="1" applyAlignment="1">
      <alignment horizontal="left"/>
    </xf>
    <xf numFmtId="4" fontId="0" fillId="0" borderId="0" xfId="0" applyNumberFormat="1"/>
    <xf numFmtId="0" fontId="7" fillId="8" borderId="0" xfId="0" applyFont="1" applyFill="1"/>
    <xf numFmtId="0" fontId="6" fillId="0" borderId="8" xfId="0" applyFont="1" applyBorder="1"/>
    <xf numFmtId="0" fontId="6" fillId="0" borderId="9" xfId="0" applyFont="1" applyBorder="1"/>
    <xf numFmtId="166" fontId="6" fillId="0" borderId="0" xfId="0" applyNumberFormat="1" applyFont="1"/>
    <xf numFmtId="0" fontId="0" fillId="0" borderId="5" xfId="0" applyBorder="1"/>
    <xf numFmtId="166" fontId="0" fillId="0" borderId="8" xfId="0" applyNumberFormat="1" applyBorder="1"/>
    <xf numFmtId="2" fontId="0" fillId="0" borderId="9" xfId="0" applyNumberFormat="1" applyBorder="1"/>
    <xf numFmtId="0" fontId="0" fillId="0" borderId="11" xfId="0" applyBorder="1"/>
    <xf numFmtId="166" fontId="0" fillId="0" borderId="10" xfId="0" applyNumberFormat="1" applyBorder="1"/>
    <xf numFmtId="166" fontId="0" fillId="0" borderId="1" xfId="0" applyNumberFormat="1" applyBorder="1"/>
    <xf numFmtId="4" fontId="0" fillId="0" borderId="1" xfId="0" applyNumberFormat="1" applyBorder="1"/>
    <xf numFmtId="2" fontId="0" fillId="0" borderId="1" xfId="0" applyNumberFormat="1" applyBorder="1"/>
    <xf numFmtId="2" fontId="0" fillId="0" borderId="11" xfId="0" applyNumberFormat="1" applyBorder="1"/>
    <xf numFmtId="0" fontId="0" fillId="0" borderId="0" xfId="0" applyAlignment="1">
      <alignment horizontal="right"/>
    </xf>
    <xf numFmtId="0" fontId="13" fillId="0" borderId="13" xfId="0" applyFont="1" applyBorder="1"/>
    <xf numFmtId="0" fontId="13" fillId="0" borderId="14" xfId="0" applyFont="1" applyBorder="1"/>
    <xf numFmtId="0" fontId="13" fillId="0" borderId="0" xfId="0" applyFont="1"/>
    <xf numFmtId="0" fontId="13" fillId="0" borderId="16" xfId="0" applyFont="1" applyBorder="1"/>
    <xf numFmtId="0" fontId="13" fillId="0" borderId="18" xfId="0" applyFont="1" applyBorder="1"/>
    <xf numFmtId="0" fontId="13" fillId="0" borderId="19" xfId="0" applyFont="1" applyBorder="1"/>
    <xf numFmtId="0" fontId="8" fillId="0" borderId="6" xfId="0" applyFont="1" applyBorder="1"/>
    <xf numFmtId="0" fontId="8" fillId="0" borderId="0" xfId="0" applyFont="1" applyAlignment="1">
      <alignment wrapText="1"/>
    </xf>
    <xf numFmtId="2" fontId="8" fillId="0" borderId="0" xfId="0" applyNumberFormat="1" applyFont="1"/>
    <xf numFmtId="0" fontId="8" fillId="0" borderId="1" xfId="0" applyFont="1" applyBorder="1"/>
    <xf numFmtId="0" fontId="13" fillId="0" borderId="1" xfId="0" applyFont="1" applyBorder="1"/>
    <xf numFmtId="0" fontId="8" fillId="0" borderId="0" xfId="0" applyFont="1" applyAlignment="1">
      <alignment horizontal="center"/>
    </xf>
    <xf numFmtId="0" fontId="10" fillId="0" borderId="12" xfId="0" applyFont="1" applyBorder="1"/>
    <xf numFmtId="2" fontId="13" fillId="0" borderId="0" xfId="0" applyNumberFormat="1" applyFont="1"/>
    <xf numFmtId="164" fontId="13" fillId="0" borderId="0" xfId="2" applyNumberFormat="1" applyFont="1" applyFill="1" applyBorder="1"/>
    <xf numFmtId="165" fontId="29" fillId="0" borderId="0" xfId="1" applyNumberFormat="1" applyFont="1" applyFill="1" applyBorder="1"/>
    <xf numFmtId="165" fontId="29" fillId="0" borderId="16" xfId="0" applyNumberFormat="1" applyFont="1" applyBorder="1"/>
    <xf numFmtId="0" fontId="29" fillId="0" borderId="19" xfId="0" applyFont="1" applyBorder="1"/>
    <xf numFmtId="164" fontId="29" fillId="0" borderId="0" xfId="2" applyNumberFormat="1" applyFont="1" applyFill="1" applyBorder="1"/>
    <xf numFmtId="0" fontId="30" fillId="0" borderId="0" xfId="0" applyFont="1"/>
    <xf numFmtId="0" fontId="31" fillId="0" borderId="0" xfId="0" applyFont="1"/>
    <xf numFmtId="0" fontId="32" fillId="0" borderId="0" xfId="0" applyFont="1"/>
    <xf numFmtId="167" fontId="0" fillId="0" borderId="0" xfId="0" applyNumberFormat="1"/>
    <xf numFmtId="10" fontId="34" fillId="0" borderId="0" xfId="2" applyNumberFormat="1" applyFont="1"/>
    <xf numFmtId="168" fontId="0" fillId="0" borderId="0" xfId="0" applyNumberFormat="1"/>
    <xf numFmtId="43" fontId="34" fillId="0" borderId="0" xfId="1" applyFont="1"/>
    <xf numFmtId="43" fontId="0" fillId="0" borderId="0" xfId="0" applyNumberFormat="1"/>
    <xf numFmtId="49" fontId="0" fillId="0" borderId="0" xfId="0" applyNumberFormat="1"/>
    <xf numFmtId="167" fontId="0" fillId="2" borderId="0" xfId="0" applyNumberFormat="1" applyFill="1"/>
    <xf numFmtId="0" fontId="0" fillId="4" borderId="0" xfId="0" applyFill="1"/>
    <xf numFmtId="168" fontId="0" fillId="4" borderId="0" xfId="0" applyNumberFormat="1" applyFill="1"/>
    <xf numFmtId="0" fontId="0" fillId="6" borderId="0" xfId="0" applyFill="1"/>
    <xf numFmtId="168" fontId="33" fillId="4" borderId="0" xfId="0" applyNumberFormat="1" applyFont="1" applyFill="1" applyAlignment="1">
      <alignment horizontal="center"/>
    </xf>
    <xf numFmtId="0" fontId="33" fillId="4" borderId="0" xfId="0" applyFont="1" applyFill="1" applyAlignment="1">
      <alignment horizontal="center"/>
    </xf>
    <xf numFmtId="0" fontId="33" fillId="6" borderId="0" xfId="0" applyFont="1" applyFill="1" applyAlignment="1">
      <alignment horizontal="center"/>
    </xf>
    <xf numFmtId="10" fontId="34" fillId="4" borderId="0" xfId="2" applyNumberFormat="1" applyFont="1" applyFill="1"/>
    <xf numFmtId="168" fontId="33" fillId="4" borderId="0" xfId="0" applyNumberFormat="1" applyFont="1" applyFill="1" applyAlignment="1">
      <alignment horizontal="right"/>
    </xf>
    <xf numFmtId="0" fontId="0" fillId="4" borderId="0" xfId="0" applyFill="1" applyAlignment="1">
      <alignment horizontal="right"/>
    </xf>
    <xf numFmtId="10" fontId="34" fillId="6" borderId="0" xfId="2" applyNumberFormat="1" applyFont="1" applyFill="1"/>
    <xf numFmtId="168" fontId="33" fillId="6" borderId="0" xfId="0" applyNumberFormat="1" applyFont="1" applyFill="1" applyAlignment="1">
      <alignment horizontal="right"/>
    </xf>
    <xf numFmtId="0" fontId="0" fillId="6" borderId="0" xfId="0" applyFill="1" applyAlignment="1">
      <alignment horizontal="right"/>
    </xf>
    <xf numFmtId="168" fontId="0" fillId="6" borderId="0" xfId="0" applyNumberFormat="1" applyFill="1"/>
    <xf numFmtId="167" fontId="0" fillId="2" borderId="31" xfId="0" applyNumberFormat="1" applyFill="1" applyBorder="1"/>
    <xf numFmtId="168" fontId="0" fillId="4" borderId="31" xfId="0" applyNumberFormat="1" applyFill="1" applyBorder="1"/>
    <xf numFmtId="168" fontId="0" fillId="6" borderId="31" xfId="0" applyNumberFormat="1" applyFill="1" applyBorder="1"/>
    <xf numFmtId="167" fontId="0" fillId="2" borderId="20" xfId="0" applyNumberFormat="1" applyFill="1" applyBorder="1"/>
    <xf numFmtId="168" fontId="0" fillId="4" borderId="20" xfId="0" applyNumberFormat="1" applyFill="1" applyBorder="1"/>
    <xf numFmtId="168" fontId="0" fillId="6" borderId="20" xfId="0" applyNumberFormat="1" applyFill="1" applyBorder="1"/>
    <xf numFmtId="44" fontId="0" fillId="0" borderId="0" xfId="0" applyNumberFormat="1"/>
    <xf numFmtId="1" fontId="0" fillId="0" borderId="0" xfId="0" applyNumberFormat="1"/>
    <xf numFmtId="10" fontId="0" fillId="0" borderId="0" xfId="0" applyNumberFormat="1"/>
    <xf numFmtId="167" fontId="35" fillId="0" borderId="0" xfId="0" applyNumberFormat="1" applyFont="1"/>
    <xf numFmtId="165" fontId="8" fillId="0" borderId="0" xfId="1" applyNumberFormat="1" applyFont="1" applyFill="1" applyBorder="1"/>
    <xf numFmtId="9" fontId="10" fillId="0" borderId="0" xfId="2" applyFont="1" applyFill="1"/>
    <xf numFmtId="0" fontId="8" fillId="0" borderId="8" xfId="0" applyFont="1" applyBorder="1"/>
    <xf numFmtId="0" fontId="8" fillId="0" borderId="9" xfId="0" applyFont="1" applyBorder="1"/>
    <xf numFmtId="0" fontId="8" fillId="0" borderId="9" xfId="0" applyFont="1" applyBorder="1" applyAlignment="1">
      <alignment horizontal="center" vertical="top"/>
    </xf>
    <xf numFmtId="165" fontId="29" fillId="0" borderId="8" xfId="0" applyNumberFormat="1" applyFont="1" applyBorder="1"/>
    <xf numFmtId="165" fontId="29" fillId="0" borderId="11" xfId="1" applyNumberFormat="1" applyFont="1" applyFill="1" applyBorder="1"/>
    <xf numFmtId="0" fontId="13" fillId="0" borderId="10" xfId="0" applyFont="1" applyBorder="1"/>
    <xf numFmtId="165" fontId="29" fillId="0" borderId="1" xfId="1" applyNumberFormat="1" applyFont="1" applyFill="1" applyBorder="1"/>
    <xf numFmtId="0" fontId="8" fillId="0" borderId="9" xfId="0" applyFont="1" applyBorder="1" applyAlignment="1">
      <alignment horizontal="center"/>
    </xf>
    <xf numFmtId="0" fontId="8" fillId="0" borderId="3" xfId="0" applyFont="1" applyBorder="1"/>
    <xf numFmtId="164" fontId="29" fillId="0" borderId="3" xfId="2" applyNumberFormat="1" applyFont="1" applyFill="1" applyBorder="1"/>
    <xf numFmtId="0" fontId="8" fillId="0" borderId="5" xfId="0" applyFont="1" applyBorder="1"/>
    <xf numFmtId="165" fontId="29" fillId="0" borderId="9" xfId="0" applyNumberFormat="1" applyFont="1" applyBorder="1"/>
    <xf numFmtId="0" fontId="8" fillId="0" borderId="7" xfId="0" applyFont="1" applyBorder="1"/>
    <xf numFmtId="0" fontId="8" fillId="0" borderId="8" xfId="0" applyFont="1" applyBorder="1" applyAlignment="1">
      <alignment horizontal="center" vertical="top"/>
    </xf>
    <xf numFmtId="0" fontId="10" fillId="0" borderId="0" xfId="0" applyFont="1" applyAlignment="1">
      <alignment horizontal="center"/>
    </xf>
    <xf numFmtId="0" fontId="0" fillId="0" borderId="3" xfId="0" applyBorder="1"/>
    <xf numFmtId="0" fontId="0" fillId="0" borderId="2" xfId="0" applyBorder="1"/>
    <xf numFmtId="9" fontId="8" fillId="0" borderId="0" xfId="2" applyFont="1"/>
    <xf numFmtId="164" fontId="29" fillId="0" borderId="2" xfId="2" applyNumberFormat="1" applyFont="1" applyFill="1" applyBorder="1"/>
    <xf numFmtId="164" fontId="29" fillId="0" borderId="4" xfId="2" applyNumberFormat="1" applyFont="1" applyFill="1" applyBorder="1"/>
    <xf numFmtId="164" fontId="13" fillId="0" borderId="0" xfId="2" applyNumberFormat="1" applyFont="1" applyFill="1" applyBorder="1" applyAlignment="1">
      <alignment horizontal="left"/>
    </xf>
    <xf numFmtId="0" fontId="8" fillId="0" borderId="8" xfId="0" applyFont="1" applyBorder="1" applyAlignment="1">
      <alignment horizontal="center"/>
    </xf>
    <xf numFmtId="0" fontId="8" fillId="0" borderId="0" xfId="0" applyFont="1" applyAlignment="1">
      <alignment horizontal="center" vertical="top"/>
    </xf>
    <xf numFmtId="165" fontId="29" fillId="0" borderId="0" xfId="0" applyNumberFormat="1" applyFont="1"/>
    <xf numFmtId="0" fontId="29" fillId="0" borderId="0" xfId="0" applyFont="1"/>
    <xf numFmtId="10" fontId="37" fillId="0" borderId="0" xfId="0" applyNumberFormat="1" applyFont="1" applyAlignment="1">
      <alignment vertical="center" wrapText="1"/>
    </xf>
    <xf numFmtId="0" fontId="37" fillId="0" borderId="0" xfId="0" applyFont="1" applyAlignment="1">
      <alignment vertical="center" wrapText="1"/>
    </xf>
    <xf numFmtId="8" fontId="38" fillId="0" borderId="0" xfId="0" applyNumberFormat="1" applyFont="1" applyAlignment="1">
      <alignment vertical="center" wrapText="1"/>
    </xf>
    <xf numFmtId="6" fontId="37" fillId="0" borderId="0" xfId="0" applyNumberFormat="1" applyFont="1" applyAlignment="1">
      <alignment vertical="center" wrapText="1"/>
    </xf>
    <xf numFmtId="6" fontId="38" fillId="0" borderId="0" xfId="0" applyNumberFormat="1" applyFont="1" applyAlignment="1">
      <alignment vertical="center" wrapText="1"/>
    </xf>
    <xf numFmtId="0" fontId="0" fillId="4" borderId="4" xfId="0" applyFill="1" applyBorder="1"/>
    <xf numFmtId="0" fontId="0" fillId="6" borderId="4" xfId="0" applyFill="1" applyBorder="1"/>
    <xf numFmtId="10" fontId="37" fillId="4" borderId="30" xfId="0" applyNumberFormat="1" applyFont="1" applyFill="1" applyBorder="1" applyAlignment="1">
      <alignment vertical="center" wrapText="1"/>
    </xf>
    <xf numFmtId="10" fontId="37" fillId="6" borderId="30" xfId="0" applyNumberFormat="1" applyFont="1" applyFill="1" applyBorder="1" applyAlignment="1">
      <alignment vertical="center" wrapText="1"/>
    </xf>
    <xf numFmtId="9" fontId="8" fillId="0" borderId="0" xfId="0" applyNumberFormat="1" applyFont="1" applyAlignment="1">
      <alignment horizontal="center"/>
    </xf>
    <xf numFmtId="165" fontId="29" fillId="0" borderId="10" xfId="1" applyNumberFormat="1" applyFont="1" applyFill="1" applyBorder="1"/>
    <xf numFmtId="9" fontId="8" fillId="0" borderId="9" xfId="0" applyNumberFormat="1" applyFont="1" applyBorder="1" applyAlignment="1">
      <alignment horizontal="center"/>
    </xf>
    <xf numFmtId="0" fontId="8" fillId="0" borderId="0" xfId="0" applyFont="1" applyAlignment="1">
      <alignment horizontal="center" vertical="top" wrapText="1"/>
    </xf>
    <xf numFmtId="164" fontId="29" fillId="0" borderId="13" xfId="2" applyNumberFormat="1" applyFont="1" applyFill="1" applyBorder="1"/>
    <xf numFmtId="164" fontId="29" fillId="0" borderId="14" xfId="2" applyNumberFormat="1" applyFont="1" applyFill="1" applyBorder="1"/>
    <xf numFmtId="169" fontId="29" fillId="0" borderId="32" xfId="0" applyNumberFormat="1" applyFont="1" applyBorder="1"/>
    <xf numFmtId="169" fontId="29" fillId="0" borderId="33" xfId="0" applyNumberFormat="1" applyFont="1" applyBorder="1"/>
    <xf numFmtId="164" fontId="29" fillId="0" borderId="16" xfId="2" applyNumberFormat="1" applyFont="1" applyFill="1" applyBorder="1"/>
    <xf numFmtId="164" fontId="29" fillId="0" borderId="18" xfId="2" applyNumberFormat="1" applyFont="1" applyFill="1" applyBorder="1"/>
    <xf numFmtId="164" fontId="29" fillId="0" borderId="19" xfId="2" applyNumberFormat="1" applyFont="1" applyFill="1" applyBorder="1"/>
    <xf numFmtId="164" fontId="8" fillId="0" borderId="7" xfId="2" applyNumberFormat="1" applyFont="1" applyBorder="1"/>
    <xf numFmtId="164" fontId="8" fillId="0" borderId="11" xfId="2" applyNumberFormat="1" applyFont="1" applyBorder="1"/>
    <xf numFmtId="170" fontId="0" fillId="0" borderId="0" xfId="0" applyNumberFormat="1"/>
    <xf numFmtId="171" fontId="0" fillId="0" borderId="7" xfId="44" applyNumberFormat="1" applyFont="1" applyFill="1" applyBorder="1"/>
    <xf numFmtId="171" fontId="0" fillId="0" borderId="9" xfId="44" applyNumberFormat="1" applyFont="1" applyFill="1" applyBorder="1"/>
    <xf numFmtId="0" fontId="10" fillId="0" borderId="8" xfId="0" applyFont="1" applyBorder="1"/>
    <xf numFmtId="0" fontId="10" fillId="0" borderId="10" xfId="0" applyFont="1" applyBorder="1"/>
    <xf numFmtId="164" fontId="13" fillId="0" borderId="11" xfId="2" applyNumberFormat="1" applyFont="1" applyFill="1" applyBorder="1"/>
    <xf numFmtId="0" fontId="13" fillId="0" borderId="5" xfId="0" applyFont="1" applyBorder="1"/>
    <xf numFmtId="0" fontId="13" fillId="0" borderId="7" xfId="0" applyFont="1" applyBorder="1"/>
    <xf numFmtId="0" fontId="13" fillId="0" borderId="11" xfId="0" applyFont="1" applyBorder="1"/>
    <xf numFmtId="0" fontId="8" fillId="0" borderId="12" xfId="0" applyFont="1" applyBorder="1"/>
    <xf numFmtId="0" fontId="8" fillId="0" borderId="13" xfId="0" applyFont="1" applyBorder="1"/>
    <xf numFmtId="0" fontId="8" fillId="0" borderId="14" xfId="0" applyFont="1" applyBorder="1"/>
    <xf numFmtId="0" fontId="8" fillId="0" borderId="15" xfId="0" applyFont="1" applyBorder="1" applyAlignment="1">
      <alignment horizontal="center"/>
    </xf>
    <xf numFmtId="0" fontId="8" fillId="0" borderId="16" xfId="0" applyFont="1" applyBorder="1" applyAlignment="1">
      <alignment horizontal="center"/>
    </xf>
    <xf numFmtId="0" fontId="8" fillId="0" borderId="15" xfId="0" applyFont="1" applyBorder="1" applyAlignment="1">
      <alignment horizontal="center" vertical="top"/>
    </xf>
    <xf numFmtId="0" fontId="8" fillId="0" borderId="16" xfId="0" applyFont="1" applyBorder="1" applyAlignment="1">
      <alignment horizontal="center" vertical="top" wrapText="1"/>
    </xf>
    <xf numFmtId="0" fontId="8" fillId="0" borderId="15" xfId="0" applyFont="1" applyBorder="1"/>
    <xf numFmtId="0" fontId="8" fillId="0" borderId="16" xfId="0" applyFont="1" applyBorder="1"/>
    <xf numFmtId="165" fontId="29" fillId="0" borderId="15" xfId="1" applyNumberFormat="1" applyFont="1" applyFill="1" applyBorder="1"/>
    <xf numFmtId="0" fontId="29" fillId="0" borderId="15" xfId="0" applyFont="1" applyBorder="1"/>
    <xf numFmtId="165" fontId="29" fillId="0" borderId="34" xfId="1" applyNumberFormat="1" applyFont="1" applyFill="1" applyBorder="1"/>
    <xf numFmtId="164" fontId="29" fillId="0" borderId="35" xfId="2" applyNumberFormat="1" applyFont="1" applyFill="1" applyBorder="1"/>
    <xf numFmtId="0" fontId="13" fillId="0" borderId="17" xfId="0" applyFont="1" applyBorder="1"/>
    <xf numFmtId="0" fontId="29" fillId="0" borderId="36" xfId="0" applyFont="1" applyBorder="1"/>
    <xf numFmtId="0" fontId="29" fillId="0" borderId="3" xfId="0" applyFont="1" applyBorder="1"/>
    <xf numFmtId="9" fontId="8" fillId="6" borderId="10" xfId="0" applyNumberFormat="1" applyFont="1" applyFill="1" applyBorder="1"/>
    <xf numFmtId="164" fontId="8" fillId="0" borderId="5" xfId="2" applyNumberFormat="1" applyFont="1" applyFill="1" applyBorder="1"/>
    <xf numFmtId="164" fontId="8" fillId="0" borderId="7" xfId="2" applyNumberFormat="1" applyFont="1" applyFill="1" applyBorder="1"/>
    <xf numFmtId="164" fontId="8" fillId="0" borderId="11" xfId="2" applyNumberFormat="1" applyFont="1" applyFill="1" applyBorder="1"/>
    <xf numFmtId="172" fontId="36" fillId="2" borderId="30" xfId="44" applyNumberFormat="1" applyFont="1" applyFill="1" applyBorder="1" applyAlignment="1">
      <alignment vertical="center" wrapText="1"/>
    </xf>
    <xf numFmtId="43" fontId="8" fillId="0" borderId="0" xfId="1" applyFont="1" applyFill="1" applyBorder="1"/>
    <xf numFmtId="168" fontId="0" fillId="7" borderId="0" xfId="0" applyNumberFormat="1" applyFill="1"/>
    <xf numFmtId="44" fontId="5" fillId="0" borderId="0" xfId="44" applyFont="1" applyAlignment="1">
      <alignment horizontal="right"/>
    </xf>
    <xf numFmtId="10" fontId="5" fillId="4" borderId="0" xfId="2" applyNumberFormat="1" applyFont="1" applyFill="1"/>
    <xf numFmtId="10" fontId="5" fillId="6" borderId="0" xfId="2" applyNumberFormat="1" applyFont="1" applyFill="1"/>
    <xf numFmtId="10" fontId="5" fillId="4" borderId="31" xfId="2" applyNumberFormat="1" applyFont="1" applyFill="1" applyBorder="1"/>
    <xf numFmtId="10" fontId="5" fillId="6" borderId="31" xfId="2" applyNumberFormat="1" applyFont="1" applyFill="1" applyBorder="1"/>
    <xf numFmtId="10" fontId="5" fillId="4" borderId="20" xfId="2" applyNumberFormat="1" applyFont="1" applyFill="1" applyBorder="1"/>
    <xf numFmtId="10" fontId="5" fillId="6" borderId="20" xfId="2" applyNumberFormat="1" applyFont="1" applyFill="1" applyBorder="1"/>
    <xf numFmtId="9" fontId="5" fillId="0" borderId="0" xfId="2" applyFont="1"/>
    <xf numFmtId="44" fontId="5" fillId="0" borderId="0" xfId="44" applyFont="1"/>
    <xf numFmtId="173" fontId="0" fillId="0" borderId="0" xfId="1" applyNumberFormat="1" applyFont="1"/>
    <xf numFmtId="174" fontId="0" fillId="0" borderId="0" xfId="0" applyNumberFormat="1"/>
    <xf numFmtId="0" fontId="43" fillId="0" borderId="0" xfId="0" applyFont="1"/>
    <xf numFmtId="0" fontId="43" fillId="0" borderId="0" xfId="0" applyFont="1" applyAlignment="1">
      <alignment horizontal="right"/>
    </xf>
    <xf numFmtId="0" fontId="43" fillId="3" borderId="5" xfId="0" applyFont="1" applyFill="1" applyBorder="1"/>
    <xf numFmtId="0" fontId="45" fillId="46" borderId="37" xfId="0" applyFont="1" applyFill="1" applyBorder="1" applyAlignment="1">
      <alignment vertical="top" wrapText="1"/>
    </xf>
    <xf numFmtId="6" fontId="45" fillId="46" borderId="37" xfId="0" applyNumberFormat="1" applyFont="1" applyFill="1" applyBorder="1" applyAlignment="1">
      <alignment vertical="top" wrapText="1"/>
    </xf>
    <xf numFmtId="6" fontId="45" fillId="46" borderId="30" xfId="0" applyNumberFormat="1" applyFont="1" applyFill="1" applyBorder="1" applyAlignment="1">
      <alignment vertical="top" wrapText="1"/>
    </xf>
    <xf numFmtId="0" fontId="46" fillId="0" borderId="0" xfId="0" applyFont="1"/>
    <xf numFmtId="0" fontId="46" fillId="42" borderId="0" xfId="0" applyFont="1" applyFill="1"/>
    <xf numFmtId="0" fontId="47" fillId="0" borderId="0" xfId="0" applyFont="1"/>
    <xf numFmtId="0" fontId="48" fillId="0" borderId="0" xfId="0" applyFont="1"/>
    <xf numFmtId="0" fontId="50" fillId="5" borderId="0" xfId="0" applyFont="1" applyFill="1"/>
    <xf numFmtId="0" fontId="51" fillId="0" borderId="0" xfId="0" applyFont="1"/>
    <xf numFmtId="0" fontId="55" fillId="0" borderId="0" xfId="0" applyFont="1"/>
    <xf numFmtId="0" fontId="55" fillId="0" borderId="0" xfId="0" applyFont="1" applyAlignment="1">
      <alignment vertical="top"/>
    </xf>
    <xf numFmtId="175" fontId="54" fillId="43" borderId="30" xfId="44" applyNumberFormat="1" applyFont="1" applyFill="1" applyBorder="1" applyAlignment="1" applyProtection="1">
      <alignment horizontal="left"/>
      <protection locked="0"/>
    </xf>
    <xf numFmtId="5" fontId="56" fillId="0" borderId="0" xfId="44" applyNumberFormat="1" applyFont="1" applyFill="1" applyBorder="1" applyAlignment="1" applyProtection="1">
      <alignment horizontal="left"/>
      <protection locked="0"/>
    </xf>
    <xf numFmtId="0" fontId="57" fillId="0" borderId="0" xfId="45" applyFont="1"/>
    <xf numFmtId="0" fontId="49" fillId="0" borderId="0" xfId="0" applyFont="1"/>
    <xf numFmtId="0" fontId="53" fillId="0" borderId="0" xfId="0" applyFont="1"/>
    <xf numFmtId="0" fontId="58" fillId="0" borderId="0" xfId="0" applyFont="1"/>
    <xf numFmtId="0" fontId="59" fillId="5" borderId="30" xfId="0" applyFont="1" applyFill="1" applyBorder="1"/>
    <xf numFmtId="0" fontId="60" fillId="0" borderId="0" xfId="0" applyFont="1"/>
    <xf numFmtId="0" fontId="60" fillId="0" borderId="30" xfId="0" applyFont="1" applyBorder="1"/>
    <xf numFmtId="0" fontId="52" fillId="0" borderId="0" xfId="0" applyFont="1"/>
    <xf numFmtId="15" fontId="55" fillId="0" borderId="0" xfId="0" quotePrefix="1" applyNumberFormat="1" applyFont="1" applyAlignment="1">
      <alignment horizontal="left"/>
    </xf>
    <xf numFmtId="14" fontId="55" fillId="0" borderId="0" xfId="0" applyNumberFormat="1" applyFont="1" applyAlignment="1">
      <alignment horizontal="left"/>
    </xf>
    <xf numFmtId="15" fontId="55" fillId="0" borderId="0" xfId="0" applyNumberFormat="1" applyFont="1" applyAlignment="1">
      <alignment horizontal="left"/>
    </xf>
    <xf numFmtId="6" fontId="45" fillId="0" borderId="0" xfId="0" applyNumberFormat="1" applyFont="1" applyAlignment="1">
      <alignment vertical="top" wrapText="1"/>
    </xf>
    <xf numFmtId="173" fontId="45" fillId="0" borderId="0" xfId="1" applyNumberFormat="1" applyFont="1" applyFill="1" applyBorder="1" applyAlignment="1">
      <alignment vertical="top" wrapText="1"/>
    </xf>
    <xf numFmtId="43" fontId="59" fillId="41" borderId="30" xfId="1" applyFont="1" applyFill="1" applyBorder="1" applyAlignment="1" applyProtection="1">
      <alignment horizontal="center"/>
    </xf>
    <xf numFmtId="165" fontId="29" fillId="0" borderId="30" xfId="0" applyNumberFormat="1" applyFont="1" applyBorder="1"/>
    <xf numFmtId="0" fontId="0" fillId="4" borderId="30" xfId="0" applyFill="1" applyBorder="1"/>
    <xf numFmtId="168" fontId="0" fillId="4" borderId="30" xfId="0" applyNumberFormat="1" applyFill="1" applyBorder="1"/>
    <xf numFmtId="0" fontId="0" fillId="6" borderId="30" xfId="0" applyFill="1" applyBorder="1"/>
    <xf numFmtId="168" fontId="0" fillId="6" borderId="30" xfId="0" applyNumberFormat="1" applyFill="1" applyBorder="1"/>
    <xf numFmtId="0" fontId="51" fillId="0" borderId="0" xfId="0" applyFont="1" applyAlignment="1">
      <alignment horizontal="right"/>
    </xf>
    <xf numFmtId="166" fontId="60" fillId="0" borderId="30" xfId="44" applyNumberFormat="1" applyFont="1" applyBorder="1" applyProtection="1"/>
    <xf numFmtId="0" fontId="1" fillId="0" borderId="0" xfId="0" applyFont="1" applyAlignment="1">
      <alignment vertical="top"/>
    </xf>
    <xf numFmtId="43" fontId="59" fillId="44" borderId="30" xfId="1" applyFont="1" applyFill="1" applyBorder="1" applyAlignment="1" applyProtection="1">
      <alignment horizontal="center"/>
    </xf>
    <xf numFmtId="164" fontId="29" fillId="0" borderId="0" xfId="2" applyNumberFormat="1" applyFont="1" applyFill="1" applyBorder="1" applyAlignment="1">
      <alignment horizontal="right"/>
    </xf>
    <xf numFmtId="0" fontId="13" fillId="0" borderId="0" xfId="0" applyFont="1" applyAlignment="1">
      <alignment wrapText="1"/>
    </xf>
    <xf numFmtId="9" fontId="0" fillId="0" borderId="0" xfId="2" applyFont="1" applyFill="1" applyBorder="1"/>
    <xf numFmtId="9" fontId="13" fillId="0" borderId="0" xfId="0" applyNumberFormat="1" applyFont="1"/>
    <xf numFmtId="0" fontId="43" fillId="3" borderId="0" xfId="0" applyFont="1" applyFill="1"/>
    <xf numFmtId="0" fontId="0" fillId="3" borderId="0" xfId="0" applyFill="1"/>
    <xf numFmtId="0" fontId="28" fillId="0" borderId="0" xfId="0" applyFont="1"/>
    <xf numFmtId="0" fontId="8" fillId="9" borderId="0" xfId="0" applyFont="1" applyFill="1" applyAlignment="1">
      <alignment wrapText="1"/>
    </xf>
    <xf numFmtId="0" fontId="8" fillId="0" borderId="0" xfId="0" quotePrefix="1" applyFont="1" applyAlignment="1">
      <alignment wrapText="1"/>
    </xf>
    <xf numFmtId="0" fontId="44" fillId="7" borderId="0" xfId="0" applyFont="1" applyFill="1"/>
    <xf numFmtId="0" fontId="0" fillId="7" borderId="0" xfId="0" applyFill="1"/>
    <xf numFmtId="1" fontId="8" fillId="0" borderId="0" xfId="0" applyNumberFormat="1" applyFont="1"/>
    <xf numFmtId="0" fontId="6" fillId="0" borderId="0" xfId="0" applyFont="1" applyAlignment="1">
      <alignment horizontal="left"/>
    </xf>
    <xf numFmtId="0" fontId="6" fillId="0" borderId="0" xfId="0" applyFont="1" applyAlignment="1">
      <alignment wrapText="1"/>
    </xf>
    <xf numFmtId="0" fontId="0" fillId="0" borderId="0" xfId="0" applyAlignment="1">
      <alignment horizontal="left"/>
    </xf>
    <xf numFmtId="0" fontId="13" fillId="9" borderId="0" xfId="0" applyFont="1" applyFill="1"/>
    <xf numFmtId="0" fontId="8" fillId="9" borderId="0" xfId="0" applyFont="1" applyFill="1"/>
    <xf numFmtId="0" fontId="40" fillId="7" borderId="0" xfId="0" applyFont="1" applyFill="1" applyAlignment="1">
      <alignment wrapText="1"/>
    </xf>
    <xf numFmtId="0" fontId="40" fillId="7" borderId="0" xfId="0" applyFont="1" applyFill="1"/>
    <xf numFmtId="43" fontId="8" fillId="9" borderId="0" xfId="0" applyNumberFormat="1" applyFont="1" applyFill="1"/>
    <xf numFmtId="43" fontId="8" fillId="3" borderId="0" xfId="0" applyNumberFormat="1" applyFont="1" applyFill="1"/>
    <xf numFmtId="43" fontId="8" fillId="7" borderId="0" xfId="0" applyNumberFormat="1" applyFont="1" applyFill="1"/>
    <xf numFmtId="43" fontId="8" fillId="0" borderId="0" xfId="0" applyNumberFormat="1" applyFont="1"/>
    <xf numFmtId="0" fontId="0" fillId="45" borderId="0" xfId="0" applyFill="1" applyAlignment="1">
      <alignment wrapText="1"/>
    </xf>
    <xf numFmtId="43" fontId="28" fillId="0" borderId="0" xfId="0" applyNumberFormat="1" applyFont="1"/>
    <xf numFmtId="165" fontId="29" fillId="9" borderId="0" xfId="0" applyNumberFormat="1" applyFont="1" applyFill="1"/>
    <xf numFmtId="165" fontId="29" fillId="3" borderId="0" xfId="0" applyNumberFormat="1" applyFont="1" applyFill="1"/>
    <xf numFmtId="165" fontId="29" fillId="7" borderId="0" xfId="0" applyNumberFormat="1" applyFont="1" applyFill="1"/>
    <xf numFmtId="0" fontId="39" fillId="6" borderId="0" xfId="45" applyFont="1" applyFill="1"/>
    <xf numFmtId="0" fontId="41" fillId="6" borderId="0" xfId="45" applyFont="1" applyFill="1"/>
    <xf numFmtId="0" fontId="39" fillId="0" borderId="0" xfId="45" applyFont="1"/>
    <xf numFmtId="0" fontId="43" fillId="3" borderId="2" xfId="0" applyFont="1" applyFill="1" applyBorder="1"/>
    <xf numFmtId="0" fontId="43" fillId="3" borderId="3" xfId="0" applyFont="1" applyFill="1" applyBorder="1"/>
    <xf numFmtId="0" fontId="0" fillId="3" borderId="3" xfId="0" applyFill="1" applyBorder="1"/>
    <xf numFmtId="0" fontId="8" fillId="3" borderId="3" xfId="0" applyFont="1" applyFill="1" applyBorder="1"/>
    <xf numFmtId="0" fontId="8" fillId="3" borderId="4" xfId="0" applyFont="1" applyFill="1" applyBorder="1"/>
    <xf numFmtId="0" fontId="8" fillId="0" borderId="11" xfId="0" applyFont="1" applyBorder="1"/>
    <xf numFmtId="0" fontId="8" fillId="0" borderId="5" xfId="0" applyFont="1" applyBorder="1" applyAlignment="1">
      <alignment horizontal="center"/>
    </xf>
    <xf numFmtId="0" fontId="8" fillId="0" borderId="6" xfId="0" applyFont="1" applyBorder="1" applyAlignment="1">
      <alignment horizontal="center"/>
    </xf>
    <xf numFmtId="0" fontId="8" fillId="0" borderId="7" xfId="0" applyFont="1" applyBorder="1" applyAlignment="1">
      <alignment horizontal="center"/>
    </xf>
    <xf numFmtId="0" fontId="8" fillId="0" borderId="10" xfId="0" applyFont="1" applyBorder="1" applyAlignment="1">
      <alignment horizontal="center" vertical="top"/>
    </xf>
    <xf numFmtId="0" fontId="8" fillId="0" borderId="1" xfId="0" applyFont="1" applyBorder="1" applyAlignment="1">
      <alignment horizontal="center" vertical="top" wrapText="1"/>
    </xf>
    <xf numFmtId="0" fontId="8" fillId="0" borderId="11" xfId="0" applyFont="1" applyBorder="1" applyAlignment="1">
      <alignment horizontal="center" vertical="top" wrapText="1"/>
    </xf>
    <xf numFmtId="0" fontId="8" fillId="0" borderId="30" xfId="0" applyFont="1" applyBorder="1"/>
    <xf numFmtId="0" fontId="8" fillId="0" borderId="38" xfId="0" applyFont="1" applyBorder="1"/>
    <xf numFmtId="0" fontId="8" fillId="0" borderId="39" xfId="0" applyFont="1" applyBorder="1" applyAlignment="1">
      <alignment horizontal="center"/>
    </xf>
    <xf numFmtId="0" fontId="8" fillId="0" borderId="38" xfId="0" applyFont="1" applyBorder="1" applyAlignment="1">
      <alignment horizontal="center" vertical="top"/>
    </xf>
    <xf numFmtId="0" fontId="8" fillId="0" borderId="38" xfId="0" applyFont="1" applyBorder="1" applyAlignment="1">
      <alignment horizontal="center" vertical="top" wrapText="1"/>
    </xf>
    <xf numFmtId="0" fontId="0" fillId="0" borderId="3" xfId="0" applyBorder="1" applyAlignment="1">
      <alignment wrapText="1"/>
    </xf>
    <xf numFmtId="0" fontId="0" fillId="0" borderId="4" xfId="0" applyBorder="1" applyAlignment="1">
      <alignment wrapText="1"/>
    </xf>
    <xf numFmtId="165" fontId="29" fillId="0" borderId="3" xfId="1" applyNumberFormat="1" applyFont="1" applyFill="1" applyBorder="1"/>
    <xf numFmtId="165" fontId="29" fillId="0" borderId="3" xfId="0" applyNumberFormat="1" applyFont="1" applyBorder="1"/>
    <xf numFmtId="165" fontId="29" fillId="0" borderId="4" xfId="0" applyNumberFormat="1" applyFont="1" applyBorder="1"/>
    <xf numFmtId="165" fontId="29" fillId="0" borderId="2" xfId="1" applyNumberFormat="1" applyFont="1" applyFill="1" applyBorder="1"/>
    <xf numFmtId="0" fontId="29" fillId="0" borderId="10" xfId="0" applyFont="1" applyBorder="1"/>
    <xf numFmtId="0" fontId="29" fillId="0" borderId="1" xfId="0" applyFont="1" applyBorder="1"/>
    <xf numFmtId="0" fontId="51" fillId="0" borderId="1" xfId="0" applyFont="1" applyBorder="1"/>
    <xf numFmtId="0" fontId="50" fillId="5" borderId="0" xfId="0" applyFont="1" applyFill="1" applyAlignment="1">
      <alignment horizontal="center" vertical="center"/>
    </xf>
    <xf numFmtId="0" fontId="2" fillId="0" borderId="0" xfId="0" applyFont="1"/>
    <xf numFmtId="43" fontId="2" fillId="0" borderId="0" xfId="1" applyFont="1" applyProtection="1"/>
    <xf numFmtId="0" fontId="2" fillId="0" borderId="30" xfId="0" applyFont="1" applyBorder="1"/>
    <xf numFmtId="166" fontId="2" fillId="0" borderId="30" xfId="44" applyNumberFormat="1" applyFont="1" applyBorder="1" applyProtection="1"/>
    <xf numFmtId="44" fontId="2" fillId="0" borderId="0" xfId="0" applyNumberFormat="1" applyFont="1"/>
    <xf numFmtId="165" fontId="2" fillId="0" borderId="30" xfId="1" applyNumberFormat="1" applyFont="1" applyBorder="1" applyAlignment="1" applyProtection="1">
      <alignment horizontal="left"/>
    </xf>
    <xf numFmtId="169" fontId="2" fillId="0" borderId="0" xfId="0" applyNumberFormat="1" applyFont="1"/>
    <xf numFmtId="43" fontId="2" fillId="0" borderId="30" xfId="1" applyFont="1" applyBorder="1" applyProtection="1"/>
    <xf numFmtId="0" fontId="65" fillId="7" borderId="30" xfId="45" applyFont="1" applyFill="1" applyBorder="1" applyAlignment="1">
      <alignment horizontal="right" vertical="top"/>
    </xf>
    <xf numFmtId="6" fontId="65" fillId="7" borderId="30" xfId="45" applyNumberFormat="1" applyFont="1" applyFill="1" applyBorder="1" applyAlignment="1">
      <alignment horizontal="right" vertical="top"/>
    </xf>
    <xf numFmtId="10" fontId="65" fillId="7" borderId="30" xfId="45" applyNumberFormat="1" applyFont="1" applyFill="1" applyBorder="1" applyAlignment="1">
      <alignment horizontal="right" vertical="top"/>
    </xf>
    <xf numFmtId="6" fontId="45" fillId="7" borderId="30" xfId="0" applyNumberFormat="1" applyFont="1" applyFill="1" applyBorder="1" applyAlignment="1">
      <alignment vertical="top" wrapText="1"/>
    </xf>
    <xf numFmtId="10" fontId="37" fillId="7" borderId="30" xfId="0" applyNumberFormat="1" applyFont="1" applyFill="1" applyBorder="1" applyAlignment="1">
      <alignment vertical="center" wrapText="1"/>
    </xf>
    <xf numFmtId="43" fontId="59" fillId="47" borderId="30" xfId="1" applyFont="1" applyFill="1" applyBorder="1" applyAlignment="1" applyProtection="1">
      <alignment horizontal="center"/>
    </xf>
    <xf numFmtId="43" fontId="59" fillId="47" borderId="30" xfId="1" applyFont="1" applyFill="1" applyBorder="1" applyAlignment="1" applyProtection="1">
      <alignment horizontal="center" wrapText="1"/>
    </xf>
    <xf numFmtId="44" fontId="60" fillId="0" borderId="30" xfId="44" applyFont="1" applyBorder="1" applyProtection="1"/>
    <xf numFmtId="44" fontId="60" fillId="0" borderId="30" xfId="44" applyFont="1" applyFill="1" applyBorder="1" applyProtection="1"/>
    <xf numFmtId="43" fontId="59" fillId="47" borderId="4" xfId="1" applyFont="1" applyFill="1" applyBorder="1" applyAlignment="1" applyProtection="1">
      <alignment horizontal="center"/>
    </xf>
    <xf numFmtId="43" fontId="2" fillId="0" borderId="30" xfId="0" applyNumberFormat="1" applyFont="1" applyBorder="1"/>
    <xf numFmtId="175" fontId="54" fillId="43" borderId="30" xfId="44" applyNumberFormat="1" applyFont="1" applyFill="1" applyBorder="1" applyAlignment="1" applyProtection="1">
      <alignment horizontal="right"/>
    </xf>
    <xf numFmtId="0" fontId="50" fillId="5" borderId="0" xfId="0" applyFont="1" applyFill="1" applyAlignment="1">
      <alignment wrapText="1"/>
    </xf>
    <xf numFmtId="0" fontId="50" fillId="5" borderId="0" xfId="0" applyFont="1" applyFill="1"/>
    <xf numFmtId="0" fontId="50" fillId="5" borderId="0" xfId="0" applyFont="1" applyFill="1" applyAlignment="1">
      <alignment vertical="top"/>
    </xf>
    <xf numFmtId="0" fontId="50" fillId="5" borderId="0" xfId="0" applyFont="1" applyFill="1" applyAlignment="1">
      <alignment horizontal="left"/>
    </xf>
    <xf numFmtId="0" fontId="52" fillId="0" borderId="0" xfId="0" applyFont="1" applyAlignment="1">
      <alignment horizontal="left" vertical="center" wrapText="1"/>
    </xf>
    <xf numFmtId="49" fontId="32" fillId="0" borderId="0" xfId="1" applyNumberFormat="1" applyFont="1" applyFill="1" applyAlignment="1">
      <alignment horizontal="center"/>
    </xf>
    <xf numFmtId="49" fontId="32" fillId="0" borderId="0" xfId="0" applyNumberFormat="1" applyFont="1" applyAlignment="1">
      <alignment horizontal="center"/>
    </xf>
    <xf numFmtId="49" fontId="32" fillId="0" borderId="0" xfId="2" applyNumberFormat="1" applyFont="1" applyAlignment="1">
      <alignment horizontal="center"/>
    </xf>
    <xf numFmtId="168" fontId="66" fillId="0" borderId="0" xfId="0" applyNumberFormat="1" applyFont="1" applyAlignment="1">
      <alignment horizontal="center"/>
    </xf>
    <xf numFmtId="49" fontId="32" fillId="0" borderId="0" xfId="1" applyNumberFormat="1" applyFont="1" applyAlignment="1">
      <alignment horizontal="center"/>
    </xf>
  </cellXfs>
  <cellStyles count="93">
    <cellStyle name="20% - Accent1" xfId="21" builtinId="30" customBuiltin="1"/>
    <cellStyle name="20% - Accent1 2" xfId="67" xr:uid="{00000000-0005-0000-0000-000001000000}"/>
    <cellStyle name="20% - Accent2" xfId="25" builtinId="34" customBuiltin="1"/>
    <cellStyle name="20% - Accent2 2" xfId="71" xr:uid="{00000000-0005-0000-0000-000003000000}"/>
    <cellStyle name="20% - Accent3" xfId="29" builtinId="38" customBuiltin="1"/>
    <cellStyle name="20% - Accent3 2" xfId="75" xr:uid="{00000000-0005-0000-0000-000005000000}"/>
    <cellStyle name="20% - Accent4" xfId="33" builtinId="42" customBuiltin="1"/>
    <cellStyle name="20% - Accent4 2" xfId="79" xr:uid="{00000000-0005-0000-0000-000007000000}"/>
    <cellStyle name="20% - Accent5" xfId="37" builtinId="46" customBuiltin="1"/>
    <cellStyle name="20% - Accent5 2" xfId="83" xr:uid="{00000000-0005-0000-0000-000009000000}"/>
    <cellStyle name="20% - Accent6" xfId="41" builtinId="50" customBuiltin="1"/>
    <cellStyle name="20% - Accent6 2" xfId="87" xr:uid="{00000000-0005-0000-0000-00000B000000}"/>
    <cellStyle name="40% - Accent1" xfId="22" builtinId="31" customBuiltin="1"/>
    <cellStyle name="40% - Accent1 2" xfId="68" xr:uid="{00000000-0005-0000-0000-00000D000000}"/>
    <cellStyle name="40% - Accent2" xfId="26" builtinId="35" customBuiltin="1"/>
    <cellStyle name="40% - Accent2 2" xfId="72" xr:uid="{00000000-0005-0000-0000-00000F000000}"/>
    <cellStyle name="40% - Accent3" xfId="30" builtinId="39" customBuiltin="1"/>
    <cellStyle name="40% - Accent3 2" xfId="76" xr:uid="{00000000-0005-0000-0000-000011000000}"/>
    <cellStyle name="40% - Accent4" xfId="34" builtinId="43" customBuiltin="1"/>
    <cellStyle name="40% - Accent4 2" xfId="80" xr:uid="{00000000-0005-0000-0000-000013000000}"/>
    <cellStyle name="40% - Accent5" xfId="38" builtinId="47" customBuiltin="1"/>
    <cellStyle name="40% - Accent5 2" xfId="84" xr:uid="{00000000-0005-0000-0000-000015000000}"/>
    <cellStyle name="40% - Accent6" xfId="42" builtinId="51" customBuiltin="1"/>
    <cellStyle name="40% - Accent6 2" xfId="88" xr:uid="{00000000-0005-0000-0000-000017000000}"/>
    <cellStyle name="60% - Accent1" xfId="23" builtinId="32" customBuiltin="1"/>
    <cellStyle name="60% - Accent1 2" xfId="69" xr:uid="{00000000-0005-0000-0000-000019000000}"/>
    <cellStyle name="60% - Accent2" xfId="27" builtinId="36" customBuiltin="1"/>
    <cellStyle name="60% - Accent2 2" xfId="73" xr:uid="{00000000-0005-0000-0000-00001B000000}"/>
    <cellStyle name="60% - Accent3" xfId="31" builtinId="40" customBuiltin="1"/>
    <cellStyle name="60% - Accent3 2" xfId="77" xr:uid="{00000000-0005-0000-0000-00001D000000}"/>
    <cellStyle name="60% - Accent4" xfId="35" builtinId="44" customBuiltin="1"/>
    <cellStyle name="60% - Accent4 2" xfId="81" xr:uid="{00000000-0005-0000-0000-00001F000000}"/>
    <cellStyle name="60% - Accent5" xfId="39" builtinId="48" customBuiltin="1"/>
    <cellStyle name="60% - Accent5 2" xfId="85" xr:uid="{00000000-0005-0000-0000-000021000000}"/>
    <cellStyle name="60% - Accent6" xfId="43" builtinId="52" customBuiltin="1"/>
    <cellStyle name="60% - Accent6 2" xfId="89" xr:uid="{00000000-0005-0000-0000-000023000000}"/>
    <cellStyle name="Accent1" xfId="20" builtinId="29" customBuiltin="1"/>
    <cellStyle name="Accent1 2" xfId="66" xr:uid="{00000000-0005-0000-0000-000025000000}"/>
    <cellStyle name="Accent2" xfId="24" builtinId="33" customBuiltin="1"/>
    <cellStyle name="Accent2 2" xfId="70" xr:uid="{00000000-0005-0000-0000-000027000000}"/>
    <cellStyle name="Accent3" xfId="28" builtinId="37" customBuiltin="1"/>
    <cellStyle name="Accent3 2" xfId="74" xr:uid="{00000000-0005-0000-0000-000029000000}"/>
    <cellStyle name="Accent4" xfId="32" builtinId="41" customBuiltin="1"/>
    <cellStyle name="Accent4 2" xfId="78" xr:uid="{00000000-0005-0000-0000-00002B000000}"/>
    <cellStyle name="Accent5" xfId="36" builtinId="45" customBuiltin="1"/>
    <cellStyle name="Accent5 2" xfId="82" xr:uid="{00000000-0005-0000-0000-00002D000000}"/>
    <cellStyle name="Accent6" xfId="40" builtinId="49" customBuiltin="1"/>
    <cellStyle name="Accent6 2" xfId="86" xr:uid="{00000000-0005-0000-0000-00002F000000}"/>
    <cellStyle name="Berekening" xfId="13" builtinId="22" customBuiltin="1"/>
    <cellStyle name="Berekening 2" xfId="59" xr:uid="{00000000-0005-0000-0000-000031000000}"/>
    <cellStyle name="Controlecel" xfId="15" builtinId="23" customBuiltin="1"/>
    <cellStyle name="Controlecel 2" xfId="61" xr:uid="{00000000-0005-0000-0000-000033000000}"/>
    <cellStyle name="Gekoppelde cel" xfId="14" builtinId="24" customBuiltin="1"/>
    <cellStyle name="Gekoppelde cel 2" xfId="60" xr:uid="{00000000-0005-0000-0000-000035000000}"/>
    <cellStyle name="Goed" xfId="8" builtinId="26" customBuiltin="1"/>
    <cellStyle name="Goed 2" xfId="54" xr:uid="{00000000-0005-0000-0000-000037000000}"/>
    <cellStyle name="Invoer" xfId="11" builtinId="20" customBuiltin="1"/>
    <cellStyle name="Invoer 2" xfId="57" xr:uid="{00000000-0005-0000-0000-000039000000}"/>
    <cellStyle name="Komma" xfId="1" builtinId="3"/>
    <cellStyle name="Komma 2" xfId="48" xr:uid="{00000000-0005-0000-0000-00003B000000}"/>
    <cellStyle name="Komma 3" xfId="91" xr:uid="{00000000-0005-0000-0000-00003C000000}"/>
    <cellStyle name="Kop 1" xfId="4" builtinId="16" customBuiltin="1"/>
    <cellStyle name="Kop 1 2" xfId="50" xr:uid="{00000000-0005-0000-0000-00003E000000}"/>
    <cellStyle name="Kop 2" xfId="5" builtinId="17" customBuiltin="1"/>
    <cellStyle name="Kop 2 2" xfId="51" xr:uid="{00000000-0005-0000-0000-000040000000}"/>
    <cellStyle name="Kop 3" xfId="6" builtinId="18" customBuiltin="1"/>
    <cellStyle name="Kop 3 2" xfId="52" xr:uid="{00000000-0005-0000-0000-000042000000}"/>
    <cellStyle name="Kop 4" xfId="7" builtinId="19" customBuiltin="1"/>
    <cellStyle name="Kop 4 2" xfId="53" xr:uid="{00000000-0005-0000-0000-000044000000}"/>
    <cellStyle name="Neutraal" xfId="10" builtinId="28" customBuiltin="1"/>
    <cellStyle name="Neutraal 2" xfId="56" xr:uid="{00000000-0005-0000-0000-000046000000}"/>
    <cellStyle name="Notitie" xfId="17" builtinId="10" customBuiltin="1"/>
    <cellStyle name="Notitie 2" xfId="63" xr:uid="{00000000-0005-0000-0000-000048000000}"/>
    <cellStyle name="Ongeldig" xfId="9" builtinId="27" customBuiltin="1"/>
    <cellStyle name="Ongeldig 2" xfId="55" xr:uid="{00000000-0005-0000-0000-00004A000000}"/>
    <cellStyle name="Procent" xfId="2" builtinId="5"/>
    <cellStyle name="Procent 2" xfId="49" xr:uid="{00000000-0005-0000-0000-00004C000000}"/>
    <cellStyle name="Standaard" xfId="0" builtinId="0"/>
    <cellStyle name="Standaard 2" xfId="45" xr:uid="{00000000-0005-0000-0000-00004E000000}"/>
    <cellStyle name="Standaard 2 2" xfId="47" xr:uid="{00000000-0005-0000-0000-00004F000000}"/>
    <cellStyle name="Standaard 2 3" xfId="46" xr:uid="{00000000-0005-0000-0000-000050000000}"/>
    <cellStyle name="Titel" xfId="3" builtinId="15" customBuiltin="1"/>
    <cellStyle name="Totaal" xfId="19" builtinId="25" customBuiltin="1"/>
    <cellStyle name="Totaal 2" xfId="65" xr:uid="{00000000-0005-0000-0000-000053000000}"/>
    <cellStyle name="Uitvoer" xfId="12" builtinId="21" customBuiltin="1"/>
    <cellStyle name="Uitvoer 2" xfId="58" xr:uid="{00000000-0005-0000-0000-000055000000}"/>
    <cellStyle name="Valuta" xfId="44" builtinId="4"/>
    <cellStyle name="Valuta 2" xfId="90" xr:uid="{00000000-0005-0000-0000-000057000000}"/>
    <cellStyle name="Valuta 3" xfId="92" xr:uid="{00000000-0005-0000-0000-000058000000}"/>
    <cellStyle name="Verklarende tekst" xfId="18" builtinId="53" customBuiltin="1"/>
    <cellStyle name="Verklarende tekst 2" xfId="64" xr:uid="{00000000-0005-0000-0000-00005A000000}"/>
    <cellStyle name="Waarschuwingstekst" xfId="16" builtinId="11" customBuiltin="1"/>
    <cellStyle name="Waarschuwingstekst 2" xfId="62" xr:uid="{00000000-0005-0000-0000-00005C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7"/>
  <sheetViews>
    <sheetView showGridLines="0" showRowColHeaders="0" tabSelected="1" zoomScale="95" zoomScaleNormal="95" workbookViewId="0">
      <selection activeCell="C8" sqref="C8"/>
      <extLst>
        <ext xmlns:xlsdti="http://schemas.microsoft.com/office/spreadsheetml/2023/showDataTypeIcons" uri="{77bfe23e-c014-4d31-8a63-9c772dbf06b6}">
          <xlsdti:showDataTypeIcons visible="0"/>
        </ext>
      </extLst>
    </sheetView>
  </sheetViews>
  <sheetFormatPr defaultColWidth="0" defaultRowHeight="12.75" zeroHeight="1" x14ac:dyDescent="0.2"/>
  <cols>
    <col min="1" max="2" width="4.7109375" style="197" customWidth="1"/>
    <col min="3" max="3" width="73" style="197" customWidth="1"/>
    <col min="4" max="4" width="3.5703125" style="197" customWidth="1"/>
    <col min="5" max="8" width="14.85546875" style="197" customWidth="1"/>
    <col min="9" max="9" width="4.7109375" style="197" customWidth="1"/>
    <col min="10" max="10" width="19.5703125" style="197" hidden="1" customWidth="1"/>
    <col min="11" max="12" width="9.140625" style="197" hidden="1" customWidth="1"/>
    <col min="13" max="13" width="79.85546875" style="197" hidden="1" customWidth="1"/>
    <col min="14" max="14" width="9.140625" style="197" hidden="1" customWidth="1"/>
    <col min="15" max="16" width="0" style="197" hidden="1" customWidth="1"/>
    <col min="17" max="17" width="9.140625" style="197" hidden="1" customWidth="1"/>
    <col min="18" max="19" width="0" style="197" hidden="1" customWidth="1"/>
    <col min="20" max="16384" width="9.140625" style="197" hidden="1"/>
  </cols>
  <sheetData>
    <row r="1" spans="1:13" x14ac:dyDescent="0.2"/>
    <row r="2" spans="1:13" x14ac:dyDescent="0.2">
      <c r="A2" s="286"/>
      <c r="B2" s="286"/>
      <c r="C2" s="286"/>
      <c r="D2" s="286"/>
      <c r="E2" s="286"/>
      <c r="F2" s="286"/>
      <c r="G2" s="286"/>
      <c r="H2" s="286"/>
      <c r="I2" s="286"/>
      <c r="J2" s="286"/>
      <c r="K2" s="286"/>
      <c r="L2" s="286"/>
      <c r="M2" s="286"/>
    </row>
    <row r="3" spans="1:13" ht="25.5" customHeight="1" x14ac:dyDescent="0.3">
      <c r="A3" s="195"/>
      <c r="B3" s="196" t="s">
        <v>132</v>
      </c>
      <c r="C3" s="196"/>
      <c r="D3" s="196"/>
      <c r="E3" s="196"/>
      <c r="F3" s="196"/>
      <c r="G3" s="196"/>
      <c r="H3" s="196"/>
      <c r="I3" s="195"/>
      <c r="J3" s="286"/>
      <c r="K3" s="286"/>
      <c r="L3" s="286"/>
      <c r="M3" s="286"/>
    </row>
    <row r="4" spans="1:13" ht="15" customHeight="1" x14ac:dyDescent="0.3">
      <c r="A4" s="286"/>
      <c r="B4" s="286"/>
      <c r="C4" s="198"/>
      <c r="D4" s="198"/>
      <c r="E4" s="286"/>
      <c r="F4" s="286"/>
      <c r="G4" s="286"/>
      <c r="H4" s="286"/>
      <c r="I4" s="286"/>
      <c r="J4" s="286"/>
      <c r="K4" s="286"/>
      <c r="L4" s="286"/>
      <c r="M4" s="286"/>
    </row>
    <row r="5" spans="1:13" x14ac:dyDescent="0.2">
      <c r="A5" s="286"/>
      <c r="B5" s="286"/>
      <c r="C5" s="286"/>
      <c r="D5" s="286"/>
      <c r="E5" s="286"/>
      <c r="F5" s="286"/>
      <c r="G5" s="286"/>
      <c r="H5" s="286"/>
      <c r="I5" s="286"/>
      <c r="J5" s="286"/>
      <c r="K5" s="286"/>
      <c r="L5" s="286"/>
      <c r="M5" s="286"/>
    </row>
    <row r="6" spans="1:13" ht="15" x14ac:dyDescent="0.2">
      <c r="A6" s="286"/>
      <c r="B6" s="199" t="s">
        <v>0</v>
      </c>
      <c r="C6" s="199" t="s">
        <v>1</v>
      </c>
      <c r="D6" s="200"/>
      <c r="E6" s="286"/>
      <c r="F6" s="286"/>
      <c r="G6" s="286"/>
      <c r="H6" s="286"/>
      <c r="I6" s="286"/>
      <c r="J6" s="286"/>
      <c r="K6" s="286"/>
      <c r="L6" s="286"/>
      <c r="M6" s="286"/>
    </row>
    <row r="7" spans="1:13" x14ac:dyDescent="0.2">
      <c r="A7" s="286"/>
      <c r="B7" s="286"/>
      <c r="C7" s="201" t="s">
        <v>2</v>
      </c>
      <c r="D7" s="286"/>
      <c r="E7" s="201" t="s">
        <v>3</v>
      </c>
      <c r="F7" s="201"/>
      <c r="G7" s="201"/>
      <c r="H7" s="201"/>
      <c r="I7" s="286"/>
      <c r="J7" s="286"/>
      <c r="K7" s="286"/>
      <c r="L7" s="286"/>
      <c r="M7" s="286"/>
    </row>
    <row r="8" spans="1:13" ht="15" x14ac:dyDescent="0.2">
      <c r="A8" s="286"/>
      <c r="B8" s="224"/>
      <c r="C8" s="203" t="s">
        <v>4</v>
      </c>
      <c r="D8" s="204"/>
      <c r="E8" s="305">
        <f>VLOOKUP(C8,'Tabel 2026 52 weken'!A33:B101,2)</f>
        <v>24149</v>
      </c>
      <c r="F8" s="201"/>
      <c r="G8" s="201"/>
      <c r="H8" s="201"/>
      <c r="I8" s="286"/>
      <c r="J8" s="286"/>
      <c r="K8" s="286"/>
      <c r="L8" s="286"/>
      <c r="M8" s="286"/>
    </row>
    <row r="9" spans="1:13" ht="15.75" customHeight="1" x14ac:dyDescent="0.2">
      <c r="A9" s="286"/>
      <c r="B9" s="286"/>
      <c r="C9" s="202" t="s">
        <v>5</v>
      </c>
      <c r="D9" s="286"/>
      <c r="E9" s="201"/>
      <c r="F9" s="201"/>
      <c r="G9" s="201"/>
      <c r="H9" s="201"/>
      <c r="I9" s="286"/>
      <c r="J9" s="205"/>
      <c r="K9" s="286"/>
      <c r="L9" s="206"/>
      <c r="M9" s="286"/>
    </row>
    <row r="10" spans="1:13" ht="15" x14ac:dyDescent="0.2">
      <c r="A10" s="286"/>
      <c r="B10" s="286"/>
      <c r="C10" s="286"/>
      <c r="D10" s="286"/>
      <c r="E10" s="286"/>
      <c r="F10" s="286"/>
      <c r="G10" s="286"/>
      <c r="H10" s="286"/>
      <c r="I10" s="286"/>
      <c r="J10" s="205"/>
      <c r="K10" s="286"/>
      <c r="L10" s="286"/>
      <c r="M10" s="206"/>
    </row>
    <row r="11" spans="1:13" ht="15" customHeight="1" x14ac:dyDescent="0.2">
      <c r="A11" s="286"/>
      <c r="B11" s="308" t="s">
        <v>6</v>
      </c>
      <c r="C11" s="306" t="s">
        <v>134</v>
      </c>
      <c r="D11" s="286"/>
      <c r="E11" s="309" t="s">
        <v>7</v>
      </c>
      <c r="F11" s="309"/>
      <c r="G11" s="285"/>
      <c r="H11" s="285"/>
      <c r="I11" s="286"/>
      <c r="J11" s="286"/>
      <c r="K11" s="286"/>
      <c r="L11" s="286"/>
      <c r="M11" s="207"/>
    </row>
    <row r="12" spans="1:13" ht="15" customHeight="1" x14ac:dyDescent="0.2">
      <c r="A12" s="286"/>
      <c r="B12" s="308"/>
      <c r="C12" s="307"/>
      <c r="D12" s="208"/>
      <c r="E12" s="309"/>
      <c r="F12" s="309"/>
      <c r="G12" s="285"/>
      <c r="H12" s="285"/>
      <c r="I12" s="286"/>
      <c r="J12" s="286"/>
      <c r="K12" s="286"/>
      <c r="L12" s="286"/>
      <c r="M12" s="206"/>
    </row>
    <row r="13" spans="1:13" ht="15" x14ac:dyDescent="0.2">
      <c r="A13" s="286"/>
      <c r="B13" s="286"/>
      <c r="C13" s="200"/>
      <c r="D13" s="200"/>
      <c r="E13" s="284"/>
      <c r="F13" s="284"/>
      <c r="G13" s="200"/>
      <c r="H13" s="200"/>
      <c r="I13" s="286"/>
      <c r="J13" s="286"/>
      <c r="K13" s="286"/>
      <c r="L13" s="286"/>
      <c r="M13" s="206"/>
    </row>
    <row r="14" spans="1:13" ht="39.75" customHeight="1" x14ac:dyDescent="0.2">
      <c r="A14" s="286"/>
      <c r="B14" s="286"/>
      <c r="C14" s="209" t="s">
        <v>8</v>
      </c>
      <c r="D14" s="210"/>
      <c r="E14" s="218" t="s">
        <v>9</v>
      </c>
      <c r="F14" s="227" t="s">
        <v>10</v>
      </c>
      <c r="G14" s="299" t="s">
        <v>115</v>
      </c>
      <c r="H14" s="300" t="s">
        <v>128</v>
      </c>
      <c r="I14" s="286"/>
      <c r="J14" s="286"/>
      <c r="K14" s="287"/>
      <c r="L14" s="286"/>
      <c r="M14" s="286"/>
    </row>
    <row r="15" spans="1:13" ht="12.75" customHeight="1" x14ac:dyDescent="0.2">
      <c r="A15" s="286"/>
      <c r="B15" s="286"/>
      <c r="C15" s="211" t="s">
        <v>11</v>
      </c>
      <c r="D15" s="210"/>
      <c r="E15" s="225">
        <f>IF(E29=0,"n.v.t.",E29*'Tabel 2026 52 weken'!$H28)</f>
        <v>261.14333333333337</v>
      </c>
      <c r="F15" s="225">
        <f>IF(F29=0,"n.v.t.",F29*'Tabel 2026 48 weken'!$H28)</f>
        <v>246.56</v>
      </c>
      <c r="G15" s="301">
        <f>+G29*'Tabel 2026 40 weken'!$H28</f>
        <v>185.33333333333334</v>
      </c>
      <c r="H15" s="301">
        <f>ROUND(G15*12/11,2)</f>
        <v>202.18</v>
      </c>
      <c r="I15" s="286"/>
      <c r="J15" s="286"/>
      <c r="K15" s="287"/>
      <c r="L15" s="286"/>
      <c r="M15" s="286"/>
    </row>
    <row r="16" spans="1:13" ht="12.75" customHeight="1" x14ac:dyDescent="0.2">
      <c r="A16" s="286"/>
      <c r="B16" s="286"/>
      <c r="C16" s="288" t="s">
        <v>12</v>
      </c>
      <c r="D16" s="210"/>
      <c r="E16" s="225">
        <f>IF(E29=0,"n.v.t.",VLOOKUP($C$8,'Tabel 2026 52 weken'!$A$33:$N$101,8)*E$29)</f>
        <v>10.445733333333344</v>
      </c>
      <c r="F16" s="225">
        <f>IF(F29=0,"n.v.t.",VLOOKUP($C$8,'Tabel 2026 48 weken'!$A$33:$N$101,8)*F$29)</f>
        <v>26.201600000000013</v>
      </c>
      <c r="G16" s="302">
        <f>VLOOKUP($C$8,'Tabel 2026 40 weken'!$A$33:$N$101,8)*G29</f>
        <v>25.653333333333322</v>
      </c>
      <c r="H16" s="301">
        <f>G16*12/11</f>
        <v>27.985454545454534</v>
      </c>
      <c r="I16" s="286"/>
      <c r="J16" s="286"/>
      <c r="K16" s="286"/>
      <c r="L16" s="286"/>
      <c r="M16" s="286"/>
    </row>
    <row r="17" spans="1:13" ht="12.75" customHeight="1" x14ac:dyDescent="0.2">
      <c r="A17" s="286"/>
      <c r="B17" s="286"/>
      <c r="C17" s="288" t="s">
        <v>13</v>
      </c>
      <c r="D17" s="210"/>
      <c r="E17" s="225">
        <f>IF(E29=0,"n.v.t.",VLOOKUP($C$8,'Tabel 2026 52 weken'!$A$33:$N$101,14)*E$29)</f>
        <v>10.445733333333344</v>
      </c>
      <c r="F17" s="225">
        <f>IF(F29=0,"n.v.t.",VLOOKUP($C$8,'Tabel 2026 48 weken'!$A$33:$N$101,14)*F$29)</f>
        <v>26.201600000000013</v>
      </c>
      <c r="G17" s="225">
        <f>IF(G29=0,"n.v.t.",VLOOKUP($C$8,'Tabel 2026 40 weken'!$A$33:$N$101,14)*G$29)</f>
        <v>25.653333333333322</v>
      </c>
      <c r="H17" s="301">
        <f>G17*12/11</f>
        <v>27.985454545454534</v>
      </c>
      <c r="I17" s="286"/>
      <c r="J17" s="286"/>
      <c r="K17" s="286"/>
      <c r="L17" s="286"/>
      <c r="M17" s="286"/>
    </row>
    <row r="18" spans="1:13" x14ac:dyDescent="0.2">
      <c r="B18" s="286"/>
      <c r="C18" s="286"/>
      <c r="D18" s="286"/>
      <c r="E18" s="286"/>
      <c r="F18" s="286"/>
      <c r="G18" s="286"/>
      <c r="H18" s="286"/>
      <c r="I18" s="286"/>
      <c r="J18" s="286"/>
    </row>
    <row r="19" spans="1:13" x14ac:dyDescent="0.2">
      <c r="B19" s="286"/>
      <c r="C19" s="226"/>
      <c r="D19" s="226"/>
      <c r="E19" s="226"/>
      <c r="F19" s="226"/>
      <c r="G19" s="226"/>
      <c r="H19" s="226"/>
      <c r="I19" s="286"/>
      <c r="J19" s="286"/>
    </row>
    <row r="20" spans="1:13" ht="15" x14ac:dyDescent="0.2">
      <c r="B20" s="199" t="s">
        <v>14</v>
      </c>
      <c r="C20" s="199" t="s">
        <v>15</v>
      </c>
      <c r="D20" s="286"/>
      <c r="E20" s="286"/>
      <c r="F20" s="286"/>
      <c r="G20" s="286"/>
      <c r="H20" s="286"/>
      <c r="I20" s="286"/>
      <c r="J20" s="286"/>
    </row>
    <row r="21" spans="1:13" x14ac:dyDescent="0.2">
      <c r="B21" s="286"/>
      <c r="C21" s="286"/>
      <c r="D21" s="286"/>
      <c r="E21" s="286"/>
      <c r="F21" s="286"/>
      <c r="G21" s="286"/>
      <c r="H21" s="286"/>
      <c r="I21" s="286"/>
      <c r="J21" s="286"/>
    </row>
    <row r="22" spans="1:13" ht="39" customHeight="1" x14ac:dyDescent="0.2">
      <c r="B22" s="286"/>
      <c r="C22" s="209" t="s">
        <v>16</v>
      </c>
      <c r="D22" s="286"/>
      <c r="E22" s="218" t="s">
        <v>9</v>
      </c>
      <c r="F22" s="227" t="s">
        <v>10</v>
      </c>
      <c r="G22" s="299" t="s">
        <v>129</v>
      </c>
      <c r="H22" s="300" t="s">
        <v>130</v>
      </c>
      <c r="I22" s="286"/>
      <c r="J22" s="286"/>
    </row>
    <row r="23" spans="1:13" ht="12.75" customHeight="1" x14ac:dyDescent="0.2">
      <c r="B23" s="286"/>
      <c r="C23" s="288" t="s">
        <v>17</v>
      </c>
      <c r="D23" s="286"/>
      <c r="E23" s="289">
        <f>ROUND(E15/E29,2)</f>
        <v>9.98</v>
      </c>
      <c r="F23" s="289">
        <f>ROUND(F15/F29,2)</f>
        <v>10.72</v>
      </c>
      <c r="G23" s="289">
        <f t="shared" ref="G23:H23" si="0">ROUND(G15/G29,2)</f>
        <v>11.12</v>
      </c>
      <c r="H23" s="289">
        <f t="shared" si="0"/>
        <v>12.13</v>
      </c>
      <c r="I23" s="286"/>
      <c r="J23" s="286"/>
    </row>
    <row r="24" spans="1:13" ht="12.75" customHeight="1" x14ac:dyDescent="0.2">
      <c r="B24" s="286"/>
      <c r="C24" s="288" t="s">
        <v>18</v>
      </c>
      <c r="D24" s="286"/>
      <c r="E24" s="289">
        <f>ROUND(E16/$E$29,2)</f>
        <v>0.4</v>
      </c>
      <c r="F24" s="289">
        <f>ROUND(F16/$F$29,2)</f>
        <v>1.1399999999999999</v>
      </c>
      <c r="G24" s="289">
        <f t="shared" ref="G24" si="1">ROUND(G16/$F$29,2)</f>
        <v>1.1200000000000001</v>
      </c>
      <c r="H24" s="289">
        <f>ROUND(H16/$H$30,2)</f>
        <v>1.54</v>
      </c>
      <c r="I24" s="286"/>
      <c r="J24" s="286"/>
    </row>
    <row r="25" spans="1:13" ht="12.75" customHeight="1" x14ac:dyDescent="0.2">
      <c r="B25" s="286"/>
      <c r="C25" s="288" t="s">
        <v>19</v>
      </c>
      <c r="D25" s="286"/>
      <c r="E25" s="289">
        <f>ROUND(E17/$E$29,2)</f>
        <v>0.4</v>
      </c>
      <c r="F25" s="289">
        <f>ROUND(F17/$F$29,2)</f>
        <v>1.1399999999999999</v>
      </c>
      <c r="G25" s="289">
        <f>ROUND(G17/$G$29,2)</f>
        <v>1.54</v>
      </c>
      <c r="H25" s="289">
        <f>ROUND(H17/$H$30,2)</f>
        <v>1.54</v>
      </c>
      <c r="I25" s="286"/>
      <c r="J25" s="286"/>
    </row>
    <row r="26" spans="1:13" x14ac:dyDescent="0.2">
      <c r="B26" s="286"/>
      <c r="C26" s="286"/>
      <c r="D26" s="286"/>
      <c r="E26" s="290"/>
      <c r="F26" s="290"/>
      <c r="G26" s="290"/>
      <c r="H26" s="290"/>
      <c r="I26" s="286"/>
      <c r="J26" s="286"/>
    </row>
    <row r="27" spans="1:13" ht="38.25" customHeight="1" x14ac:dyDescent="0.2">
      <c r="B27" s="286"/>
      <c r="C27" s="209" t="s">
        <v>20</v>
      </c>
      <c r="D27" s="286"/>
      <c r="E27" s="218" t="s">
        <v>9</v>
      </c>
      <c r="F27" s="227" t="s">
        <v>10</v>
      </c>
      <c r="G27" s="303" t="s">
        <v>129</v>
      </c>
      <c r="H27" s="300" t="s">
        <v>130</v>
      </c>
      <c r="I27" s="286"/>
      <c r="J27" s="286"/>
    </row>
    <row r="28" spans="1:13" ht="12.75" customHeight="1" x14ac:dyDescent="0.2">
      <c r="B28" s="286"/>
      <c r="C28" s="288" t="s">
        <v>21</v>
      </c>
      <c r="D28" s="286"/>
      <c r="E28" s="291">
        <f>+Schooltijden!L$80/5</f>
        <v>314</v>
      </c>
      <c r="F28" s="291">
        <f>+Schooltijden!M$80/5</f>
        <v>276</v>
      </c>
      <c r="G28" s="291">
        <f>+Schooltijden!N$80/5</f>
        <v>200</v>
      </c>
      <c r="H28" s="291">
        <f>+G28</f>
        <v>200</v>
      </c>
      <c r="I28" s="286"/>
      <c r="J28" s="292"/>
    </row>
    <row r="29" spans="1:13" ht="12.75" customHeight="1" x14ac:dyDescent="0.2">
      <c r="B29" s="286"/>
      <c r="C29" s="288" t="s">
        <v>22</v>
      </c>
      <c r="D29" s="286"/>
      <c r="E29" s="293">
        <f>E28/12</f>
        <v>26.166666666666668</v>
      </c>
      <c r="F29" s="293">
        <f>F28/12</f>
        <v>23</v>
      </c>
      <c r="G29" s="293">
        <f>G28/12</f>
        <v>16.666666666666668</v>
      </c>
      <c r="H29" s="304">
        <f>+G29</f>
        <v>16.666666666666668</v>
      </c>
      <c r="I29" s="286"/>
      <c r="J29" s="286"/>
    </row>
    <row r="30" spans="1:13" ht="12.75" customHeight="1" x14ac:dyDescent="0.2">
      <c r="B30" s="286"/>
      <c r="C30" s="286"/>
      <c r="D30" s="286"/>
      <c r="E30" s="286"/>
      <c r="F30" s="286"/>
      <c r="G30" s="286"/>
      <c r="H30" s="304">
        <f>G29*12/11</f>
        <v>18.181818181818183</v>
      </c>
      <c r="I30" s="286"/>
      <c r="J30" s="286"/>
    </row>
    <row r="31" spans="1:13" x14ac:dyDescent="0.2">
      <c r="B31" s="286"/>
      <c r="C31" s="286"/>
      <c r="D31" s="286"/>
      <c r="E31" s="286"/>
      <c r="F31" s="286"/>
      <c r="G31" s="286"/>
      <c r="H31" s="286"/>
      <c r="I31" s="286"/>
      <c r="J31" s="286"/>
    </row>
    <row r="32" spans="1:13" ht="38.85" customHeight="1" x14ac:dyDescent="0.2">
      <c r="B32" s="310" t="s">
        <v>23</v>
      </c>
      <c r="C32" s="310"/>
      <c r="D32" s="310"/>
      <c r="E32" s="310"/>
      <c r="F32" s="310"/>
      <c r="G32" s="310"/>
      <c r="H32" s="310"/>
      <c r="I32" s="286"/>
      <c r="J32" s="286"/>
    </row>
    <row r="33" spans="2:10" x14ac:dyDescent="0.2">
      <c r="B33" s="286"/>
      <c r="C33" s="212"/>
      <c r="D33" s="212"/>
      <c r="E33" s="286"/>
      <c r="F33" s="286"/>
      <c r="G33" s="286"/>
      <c r="H33" s="286"/>
      <c r="I33" s="286"/>
      <c r="J33" s="286"/>
    </row>
    <row r="34" spans="2:10" ht="42" customHeight="1" x14ac:dyDescent="0.2">
      <c r="B34" s="310" t="s">
        <v>133</v>
      </c>
      <c r="C34" s="310"/>
      <c r="D34" s="310"/>
      <c r="E34" s="310"/>
      <c r="F34" s="310"/>
      <c r="G34" s="310"/>
      <c r="H34" s="310"/>
      <c r="I34" s="310"/>
    </row>
    <row r="35" spans="2:10" ht="12.75" customHeight="1" x14ac:dyDescent="0.2">
      <c r="B35" s="212"/>
      <c r="C35" s="212"/>
      <c r="D35" s="212"/>
      <c r="E35" s="212"/>
      <c r="F35" s="212"/>
      <c r="G35" s="212"/>
      <c r="H35" s="212"/>
      <c r="I35" s="212"/>
    </row>
    <row r="36" spans="2:10" x14ac:dyDescent="0.2">
      <c r="B36" s="212"/>
      <c r="C36"/>
      <c r="D36" s="286"/>
      <c r="E36" s="286"/>
      <c r="F36" s="286"/>
      <c r="G36" s="286"/>
      <c r="H36" s="286"/>
      <c r="I36" s="286"/>
    </row>
    <row r="37" spans="2:10" x14ac:dyDescent="0.2">
      <c r="B37" s="286"/>
      <c r="C37" s="212"/>
      <c r="D37" s="286"/>
      <c r="E37" s="286"/>
      <c r="F37" s="286"/>
      <c r="G37" s="286"/>
      <c r="H37" s="286"/>
      <c r="I37" s="286"/>
    </row>
    <row r="38" spans="2:10" hidden="1" x14ac:dyDescent="0.2">
      <c r="B38" s="286"/>
      <c r="C38" s="212"/>
      <c r="D38" s="286"/>
      <c r="E38" s="286"/>
      <c r="F38" s="286"/>
      <c r="G38" s="286"/>
      <c r="H38" s="286"/>
      <c r="I38" s="286"/>
    </row>
    <row r="40" spans="2:10" hidden="1" x14ac:dyDescent="0.2">
      <c r="B40" s="201"/>
      <c r="C40" s="212"/>
      <c r="D40" s="286"/>
      <c r="E40" s="286"/>
      <c r="F40" s="286"/>
      <c r="G40" s="286"/>
      <c r="H40" s="286"/>
      <c r="I40" s="286"/>
    </row>
    <row r="41" spans="2:10" hidden="1" x14ac:dyDescent="0.2">
      <c r="B41" s="201"/>
      <c r="C41" s="213"/>
      <c r="D41" s="286"/>
      <c r="E41" s="286"/>
      <c r="F41" s="286"/>
      <c r="G41" s="286"/>
      <c r="H41" s="286"/>
      <c r="I41" s="286"/>
    </row>
    <row r="42" spans="2:10" hidden="1" x14ac:dyDescent="0.2">
      <c r="B42" s="201"/>
      <c r="C42" s="214"/>
      <c r="D42" s="286"/>
      <c r="E42" s="286"/>
      <c r="F42" s="286"/>
      <c r="G42" s="286"/>
      <c r="H42" s="286"/>
      <c r="I42" s="286"/>
    </row>
    <row r="43" spans="2:10" hidden="1" x14ac:dyDescent="0.2">
      <c r="B43" s="286"/>
      <c r="C43" s="215"/>
      <c r="D43" s="286"/>
      <c r="E43" s="286"/>
      <c r="F43" s="286"/>
      <c r="G43" s="286"/>
      <c r="H43" s="286"/>
      <c r="I43" s="286"/>
    </row>
    <row r="44" spans="2:10" hidden="1" x14ac:dyDescent="0.2">
      <c r="B44" s="286"/>
      <c r="C44" s="201"/>
      <c r="D44" s="286"/>
      <c r="E44" s="286"/>
      <c r="F44" s="286"/>
      <c r="G44" s="286"/>
      <c r="H44" s="286"/>
      <c r="I44" s="286"/>
    </row>
    <row r="45" spans="2:10" hidden="1" x14ac:dyDescent="0.2">
      <c r="B45" s="286"/>
      <c r="C45" s="201"/>
      <c r="D45" s="286"/>
      <c r="E45" s="286"/>
      <c r="F45" s="286"/>
      <c r="G45" s="286"/>
      <c r="H45" s="286"/>
      <c r="I45" s="286"/>
    </row>
    <row r="46" spans="2:10" hidden="1" x14ac:dyDescent="0.2">
      <c r="B46" s="286"/>
      <c r="C46" s="201"/>
      <c r="D46" s="286"/>
      <c r="E46" s="286"/>
      <c r="F46" s="286"/>
      <c r="G46" s="286"/>
      <c r="H46" s="286"/>
      <c r="I46" s="286"/>
    </row>
    <row r="47" spans="2:10" x14ac:dyDescent="0.2">
      <c r="B47" s="286"/>
      <c r="C47" s="286"/>
      <c r="D47" s="286"/>
      <c r="E47" s="286"/>
      <c r="F47" s="286"/>
      <c r="G47" s="286"/>
      <c r="H47" s="286"/>
      <c r="I47" s="286"/>
    </row>
  </sheetData>
  <sheetProtection algorithmName="SHA-512" hashValue="pHdsgPgY4xoOFa7BVA/NMDkwWFuTMIqNR+ZBqEqUEZq+UYKjKPPUX4pIw2Oxgm1mCuVFoRUtsuK8EzP22D7rZg==" saltValue="QdkyOlmu1RmiDblf0SRqCQ==" spinCount="100000" sheet="1" objects="1" scenarios="1"/>
  <dataConsolidate/>
  <mergeCells count="5">
    <mergeCell ref="C11:C12"/>
    <mergeCell ref="B11:B12"/>
    <mergeCell ref="E11:F12"/>
    <mergeCell ref="B34:I34"/>
    <mergeCell ref="B32:H32"/>
  </mergeCells>
  <pageMargins left="0.70866141732283472" right="0.70866141732283472" top="0.74803149606299213" bottom="0.74803149606299213" header="0.31496062992125984" footer="0.31496062992125984"/>
  <pageSetup paperSize="9" scale="74" orientation="portrait" r:id="rId1"/>
  <extLst>
    <ext xmlns:x14="http://schemas.microsoft.com/office/spreadsheetml/2009/9/main" uri="{CCE6A557-97BC-4b89-ADB6-D9C93CAAB3DF}">
      <x14:dataValidations xmlns:xm="http://schemas.microsoft.com/office/excel/2006/main" xWindow="354" yWindow="218" count="1">
        <x14:dataValidation type="list" allowBlank="1" showInputMessage="1" showErrorMessage="1" error="Klik op Annuleren en vervolgens op het pijltje rechts van dit invoervak." xr:uid="{00000000-0002-0000-0000-000000000000}">
          <x14:formula1>
            <xm:f>'Tabel 2026 52 weken'!$A$33:$A$101</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78"/>
  <sheetViews>
    <sheetView topLeftCell="A4" workbookViewId="0">
      <pane ySplit="13" topLeftCell="A17" activePane="bottomLeft" state="frozen"/>
      <selection activeCell="F19" sqref="F19:F20"/>
      <selection pane="bottomLeft" activeCell="D19" sqref="D19:D20"/>
    </sheetView>
  </sheetViews>
  <sheetFormatPr defaultColWidth="9.140625" defaultRowHeight="12.75" x14ac:dyDescent="0.2"/>
  <cols>
    <col min="1" max="2" width="12" style="67" customWidth="1"/>
    <col min="3" max="3" width="2.7109375" customWidth="1"/>
    <col min="4" max="4" width="12" style="68" customWidth="1"/>
    <col min="5" max="5" width="2.7109375" customWidth="1"/>
    <col min="6" max="6" width="12" style="69" customWidth="1"/>
    <col min="7" max="7" width="2.7109375" customWidth="1"/>
    <col min="8" max="8" width="12" style="69" customWidth="1"/>
    <col min="9" max="9" width="16.7109375" bestFit="1" customWidth="1"/>
    <col min="10" max="10" width="12" style="68" customWidth="1"/>
    <col min="11" max="11" width="2.7109375" customWidth="1"/>
    <col min="12" max="12" width="12" customWidth="1"/>
    <col min="13" max="13" width="2.7109375" customWidth="1"/>
    <col min="14" max="14" width="12" customWidth="1"/>
    <col min="17" max="17" width="10.7109375" customWidth="1"/>
  </cols>
  <sheetData>
    <row r="1" spans="1:2" customFormat="1" ht="19.5" x14ac:dyDescent="0.25">
      <c r="A1" s="64" t="s">
        <v>24</v>
      </c>
    </row>
    <row r="2" spans="1:2" customFormat="1" x14ac:dyDescent="0.2">
      <c r="A2" t="s">
        <v>25</v>
      </c>
    </row>
    <row r="3" spans="1:2" customFormat="1" x14ac:dyDescent="0.2"/>
    <row r="4" spans="1:2" customFormat="1" x14ac:dyDescent="0.2"/>
    <row r="5" spans="1:2" customFormat="1" ht="14.25" x14ac:dyDescent="0.2">
      <c r="A5" s="65" t="s">
        <v>26</v>
      </c>
    </row>
    <row r="6" spans="1:2" customFormat="1" x14ac:dyDescent="0.2"/>
    <row r="7" spans="1:2" customFormat="1" ht="15" x14ac:dyDescent="0.2">
      <c r="A7" s="66" t="s">
        <v>27</v>
      </c>
      <c r="B7" t="s">
        <v>28</v>
      </c>
    </row>
    <row r="8" spans="1:2" customFormat="1" ht="15" x14ac:dyDescent="0.2">
      <c r="A8" s="66" t="s">
        <v>29</v>
      </c>
      <c r="B8" t="s">
        <v>30</v>
      </c>
    </row>
    <row r="9" spans="1:2" customFormat="1" ht="15" x14ac:dyDescent="0.2">
      <c r="A9" s="66"/>
      <c r="B9" t="s">
        <v>31</v>
      </c>
    </row>
    <row r="10" spans="1:2" customFormat="1" ht="15" x14ac:dyDescent="0.2">
      <c r="A10" s="66"/>
      <c r="B10" t="s">
        <v>32</v>
      </c>
    </row>
    <row r="11" spans="1:2" customFormat="1" ht="15" x14ac:dyDescent="0.2">
      <c r="A11" s="66"/>
      <c r="B11" t="s">
        <v>131</v>
      </c>
    </row>
    <row r="12" spans="1:2" customFormat="1" ht="15" x14ac:dyDescent="0.2">
      <c r="A12" s="66" t="s">
        <v>33</v>
      </c>
      <c r="B12" t="s">
        <v>131</v>
      </c>
    </row>
    <row r="13" spans="1:2" customFormat="1" x14ac:dyDescent="0.2">
      <c r="B13" t="s">
        <v>31</v>
      </c>
    </row>
    <row r="14" spans="1:2" customFormat="1" x14ac:dyDescent="0.2">
      <c r="B14" t="s">
        <v>32</v>
      </c>
    </row>
    <row r="15" spans="1:2" customFormat="1" x14ac:dyDescent="0.2">
      <c r="B15" t="s">
        <v>131</v>
      </c>
    </row>
    <row r="16" spans="1:2" customFormat="1" x14ac:dyDescent="0.2"/>
    <row r="17" spans="1:14" x14ac:dyDescent="0.2">
      <c r="A17"/>
      <c r="B17"/>
      <c r="D17"/>
      <c r="F17"/>
      <c r="H17"/>
      <c r="J17"/>
    </row>
    <row r="18" spans="1:14" x14ac:dyDescent="0.2">
      <c r="F18" s="69" t="s">
        <v>35</v>
      </c>
      <c r="J18" s="70"/>
    </row>
    <row r="19" spans="1:14" x14ac:dyDescent="0.2">
      <c r="A19" s="69" t="s">
        <v>36</v>
      </c>
      <c r="D19" s="177">
        <v>11.23</v>
      </c>
      <c r="F19" s="178">
        <f>IF(F28-D19&gt;0,F28-D19,0)</f>
        <v>0</v>
      </c>
      <c r="L19" s="71"/>
      <c r="N19" s="69"/>
    </row>
    <row r="20" spans="1:14" x14ac:dyDescent="0.2">
      <c r="A20" s="69" t="s">
        <v>37</v>
      </c>
      <c r="D20" s="177">
        <v>9.98</v>
      </c>
      <c r="F20" s="178">
        <f>IF(H28-D20&gt;0,H28-D20,0)</f>
        <v>0</v>
      </c>
      <c r="N20" s="69"/>
    </row>
    <row r="21" spans="1:14" x14ac:dyDescent="0.2">
      <c r="A21" s="69"/>
      <c r="D21" s="69"/>
      <c r="N21" s="69"/>
    </row>
    <row r="22" spans="1:14" x14ac:dyDescent="0.2">
      <c r="A22" s="69"/>
      <c r="D22" s="69"/>
      <c r="N22" s="69"/>
    </row>
    <row r="23" spans="1:14" x14ac:dyDescent="0.2">
      <c r="A23" s="69"/>
      <c r="D23" s="69"/>
      <c r="N23" s="69"/>
    </row>
    <row r="24" spans="1:14" ht="15" x14ac:dyDescent="0.2">
      <c r="A24" s="311" t="s">
        <v>38</v>
      </c>
      <c r="B24" s="311"/>
      <c r="D24" s="312" t="s">
        <v>39</v>
      </c>
      <c r="E24" s="312"/>
      <c r="F24" s="312"/>
      <c r="G24" s="312"/>
      <c r="H24" s="312"/>
      <c r="I24" s="72"/>
      <c r="J24" s="313" t="s">
        <v>40</v>
      </c>
      <c r="K24" s="313"/>
      <c r="L24" s="313"/>
      <c r="M24" s="313"/>
      <c r="N24" s="313"/>
    </row>
    <row r="25" spans="1:14" x14ac:dyDescent="0.2">
      <c r="A25" s="216" t="s">
        <v>41</v>
      </c>
      <c r="B25" s="216"/>
      <c r="D25" s="179" t="s">
        <v>42</v>
      </c>
      <c r="E25" s="74"/>
      <c r="F25" s="75"/>
      <c r="G25" s="74"/>
      <c r="H25" s="75"/>
      <c r="J25" s="180" t="s">
        <v>42</v>
      </c>
      <c r="K25" s="76"/>
      <c r="L25" s="76"/>
      <c r="M25" s="76"/>
      <c r="N25" s="76"/>
    </row>
    <row r="26" spans="1:14" ht="24" x14ac:dyDescent="0.2">
      <c r="A26" s="216" t="s">
        <v>43</v>
      </c>
      <c r="B26" s="216"/>
      <c r="D26" s="179" t="s">
        <v>44</v>
      </c>
      <c r="E26" s="74"/>
      <c r="F26" s="77" t="s">
        <v>45</v>
      </c>
      <c r="G26" s="78"/>
      <c r="H26" s="77" t="s">
        <v>46</v>
      </c>
      <c r="J26" s="180" t="s">
        <v>44</v>
      </c>
      <c r="K26" s="76"/>
      <c r="L26" s="79" t="s">
        <v>47</v>
      </c>
      <c r="M26" s="76"/>
      <c r="N26" s="79" t="s">
        <v>48</v>
      </c>
    </row>
    <row r="27" spans="1:14" ht="24" x14ac:dyDescent="0.2">
      <c r="A27" s="216" t="s">
        <v>49</v>
      </c>
      <c r="B27" s="217">
        <f>B33/20302</f>
        <v>1.1894887203231208</v>
      </c>
      <c r="D27" s="80"/>
      <c r="E27" s="74"/>
      <c r="F27" s="81" t="s">
        <v>50</v>
      </c>
      <c r="G27" s="82"/>
      <c r="H27" s="81" t="s">
        <v>51</v>
      </c>
      <c r="J27" s="83"/>
      <c r="K27" s="76"/>
      <c r="L27" s="84" t="s">
        <v>50</v>
      </c>
      <c r="M27" s="85"/>
      <c r="N27" s="84" t="s">
        <v>51</v>
      </c>
    </row>
    <row r="28" spans="1:14" x14ac:dyDescent="0.2">
      <c r="A28" s="216"/>
      <c r="B28" s="216"/>
      <c r="D28" s="80"/>
      <c r="E28" s="74"/>
      <c r="F28" s="75">
        <v>0</v>
      </c>
      <c r="G28" s="82"/>
      <c r="H28" s="177">
        <v>9.98</v>
      </c>
      <c r="J28" s="83"/>
      <c r="K28" s="76"/>
      <c r="L28" s="86">
        <f>F28</f>
        <v>0</v>
      </c>
      <c r="M28" s="76"/>
      <c r="N28" s="86">
        <f>H28</f>
        <v>9.98</v>
      </c>
    </row>
    <row r="29" spans="1:14" ht="13.5" thickBot="1" x14ac:dyDescent="0.25">
      <c r="A29" s="216"/>
      <c r="B29" s="216"/>
      <c r="D29" s="80"/>
      <c r="E29" s="74"/>
      <c r="F29" s="75"/>
      <c r="G29" s="74"/>
      <c r="H29" s="77"/>
      <c r="J29" s="83"/>
      <c r="K29" s="76"/>
      <c r="L29" s="76"/>
      <c r="M29" s="76"/>
      <c r="N29" s="76"/>
    </row>
    <row r="30" spans="1:14" x14ac:dyDescent="0.2">
      <c r="A30" s="216" t="s">
        <v>2</v>
      </c>
      <c r="B30" s="216" t="s">
        <v>3</v>
      </c>
      <c r="D30" s="181" t="s">
        <v>52</v>
      </c>
      <c r="E30" s="74"/>
      <c r="F30" s="88" t="s">
        <v>53</v>
      </c>
      <c r="G30" s="74"/>
      <c r="H30" s="88" t="s">
        <v>53</v>
      </c>
      <c r="J30" s="182" t="s">
        <v>54</v>
      </c>
      <c r="K30" s="76"/>
      <c r="L30" s="89" t="s">
        <v>53</v>
      </c>
      <c r="M30" s="76"/>
      <c r="N30" s="89" t="s">
        <v>53</v>
      </c>
    </row>
    <row r="31" spans="1:14" ht="13.5" thickBot="1" x14ac:dyDescent="0.25">
      <c r="A31" s="216"/>
      <c r="B31" s="216"/>
      <c r="D31" s="183" t="s">
        <v>55</v>
      </c>
      <c r="E31" s="74"/>
      <c r="F31" s="91" t="s">
        <v>56</v>
      </c>
      <c r="G31" s="74"/>
      <c r="H31" s="91" t="s">
        <v>56</v>
      </c>
      <c r="J31" s="184" t="s">
        <v>57</v>
      </c>
      <c r="K31" s="76"/>
      <c r="L31" s="92" t="s">
        <v>56</v>
      </c>
      <c r="M31" s="76"/>
      <c r="N31" s="92" t="s">
        <v>56</v>
      </c>
    </row>
    <row r="32" spans="1:14" ht="13.5" thickBot="1" x14ac:dyDescent="0.25">
      <c r="A32" s="216"/>
      <c r="B32" s="216"/>
      <c r="D32" s="80"/>
      <c r="E32" s="74"/>
      <c r="F32" s="75"/>
      <c r="G32" s="74"/>
      <c r="H32" s="75"/>
      <c r="J32" s="83"/>
      <c r="K32" s="76"/>
      <c r="L32" s="76"/>
      <c r="M32" s="76"/>
      <c r="N32" s="76"/>
    </row>
    <row r="33" spans="1:23" ht="13.5" thickBot="1" x14ac:dyDescent="0.25">
      <c r="A33" s="294" t="s">
        <v>4</v>
      </c>
      <c r="B33" s="295">
        <v>24149</v>
      </c>
      <c r="D33" s="296">
        <v>0.96</v>
      </c>
      <c r="E33" s="129"/>
      <c r="F33" s="221">
        <f>IF($D$19&gt;=$F$28,($F$28*(100%-D33))+($F$19),$D$19*(100%-D33)+$F$19)</f>
        <v>0</v>
      </c>
      <c r="G33" s="220"/>
      <c r="H33" s="221">
        <f>IF($D$20&gt;=$H$28,($H$28*(100%-D33))+($F$20),$D$20*(100%-D33)+($F$20))</f>
        <v>0.39920000000000039</v>
      </c>
      <c r="J33" s="296">
        <v>0.96</v>
      </c>
      <c r="K33" s="130"/>
      <c r="L33" s="223">
        <f>IF($D$19&gt;=$L$28,($L$28*(100%-J33))+(F$19),$D$19*(100%-J33)+$F$19)</f>
        <v>0</v>
      </c>
      <c r="M33" s="222"/>
      <c r="N33" s="223">
        <f>IF($D$20&gt;=$H$28,($H$28*(100%-J33))+($F$20),$D$20*(100%-J33)+($F$20))</f>
        <v>0.39920000000000039</v>
      </c>
      <c r="P33" s="192"/>
    </row>
    <row r="34" spans="1:23" ht="13.5" thickBot="1" x14ac:dyDescent="0.25">
      <c r="A34" s="295">
        <v>24150</v>
      </c>
      <c r="B34" s="295">
        <v>25756</v>
      </c>
      <c r="D34" s="296">
        <v>0.96</v>
      </c>
      <c r="E34" s="129"/>
      <c r="F34" s="221">
        <f t="shared" ref="F34:F97" si="0">IF($D$19&gt;=$F$28,($F$28*(100%-D34))+($F$19),$D$19*(100%-D34)+$F$19)</f>
        <v>0</v>
      </c>
      <c r="G34" s="220"/>
      <c r="H34" s="221">
        <f t="shared" ref="H34:H97" si="1">IF($D$20&gt;=$H$28,($H$28*(100%-D34))+($F$20),$D$20*(100%-D34)+($F$20))</f>
        <v>0.39920000000000039</v>
      </c>
      <c r="J34" s="296">
        <v>0.96</v>
      </c>
      <c r="K34" s="130"/>
      <c r="L34" s="223">
        <f t="shared" ref="L34:L97" si="2">IF($D$19&gt;=$L$28,($L$28*(100%-J34))+(F$19),$D$19*(100%-J34)+$F$19)</f>
        <v>0</v>
      </c>
      <c r="M34" s="222"/>
      <c r="N34" s="223">
        <f t="shared" ref="N34:N97" si="3">IF($D$20&gt;=$H$28,($H$28*(100%-J34))+($F$20),$D$20*(100%-J34)+($F$20))</f>
        <v>0.39920000000000039</v>
      </c>
      <c r="P34" s="193"/>
    </row>
    <row r="35" spans="1:23" ht="13.5" thickBot="1" x14ac:dyDescent="0.25">
      <c r="A35" s="295">
        <v>25757</v>
      </c>
      <c r="B35" s="295">
        <v>27363</v>
      </c>
      <c r="D35" s="296">
        <v>0.96</v>
      </c>
      <c r="E35" s="129"/>
      <c r="F35" s="221">
        <f t="shared" si="0"/>
        <v>0</v>
      </c>
      <c r="G35" s="220"/>
      <c r="H35" s="221">
        <f t="shared" si="1"/>
        <v>0.39920000000000039</v>
      </c>
      <c r="J35" s="296">
        <v>0.96</v>
      </c>
      <c r="K35" s="130"/>
      <c r="L35" s="223">
        <f t="shared" si="2"/>
        <v>0</v>
      </c>
      <c r="M35" s="222"/>
      <c r="N35" s="223">
        <f t="shared" si="3"/>
        <v>0.39920000000000039</v>
      </c>
      <c r="P35" s="193"/>
      <c r="R35" s="93"/>
    </row>
    <row r="36" spans="1:23" ht="13.5" thickBot="1" x14ac:dyDescent="0.25">
      <c r="A36" s="295">
        <v>27364</v>
      </c>
      <c r="B36" s="295">
        <v>28973</v>
      </c>
      <c r="D36" s="296">
        <v>0.96</v>
      </c>
      <c r="E36" s="129"/>
      <c r="F36" s="221">
        <f t="shared" si="0"/>
        <v>0</v>
      </c>
      <c r="G36" s="220"/>
      <c r="H36" s="221">
        <f t="shared" si="1"/>
        <v>0.39920000000000039</v>
      </c>
      <c r="J36" s="296">
        <v>0.96</v>
      </c>
      <c r="K36" s="130"/>
      <c r="L36" s="223">
        <f t="shared" si="2"/>
        <v>0</v>
      </c>
      <c r="M36" s="222"/>
      <c r="N36" s="223">
        <f t="shared" si="3"/>
        <v>0.39920000000000039</v>
      </c>
      <c r="P36" s="193"/>
    </row>
    <row r="37" spans="1:23" ht="13.5" thickBot="1" x14ac:dyDescent="0.25">
      <c r="A37" s="295">
        <v>28974</v>
      </c>
      <c r="B37" s="295">
        <v>30579</v>
      </c>
      <c r="D37" s="296">
        <v>0.96</v>
      </c>
      <c r="E37" s="129"/>
      <c r="F37" s="221">
        <f t="shared" si="0"/>
        <v>0</v>
      </c>
      <c r="G37" s="220"/>
      <c r="H37" s="221">
        <f t="shared" si="1"/>
        <v>0.39920000000000039</v>
      </c>
      <c r="J37" s="296">
        <v>0.96</v>
      </c>
      <c r="K37" s="130"/>
      <c r="L37" s="223">
        <f t="shared" si="2"/>
        <v>0</v>
      </c>
      <c r="M37" s="222"/>
      <c r="N37" s="223">
        <f t="shared" si="3"/>
        <v>0.39920000000000039</v>
      </c>
      <c r="P37" s="193"/>
    </row>
    <row r="38" spans="1:23" ht="13.5" thickBot="1" x14ac:dyDescent="0.25">
      <c r="A38" s="295">
        <v>30580</v>
      </c>
      <c r="B38" s="295">
        <v>32189</v>
      </c>
      <c r="D38" s="296">
        <v>0.96</v>
      </c>
      <c r="E38" s="129"/>
      <c r="F38" s="221">
        <f t="shared" si="0"/>
        <v>0</v>
      </c>
      <c r="G38" s="220"/>
      <c r="H38" s="221">
        <f t="shared" si="1"/>
        <v>0.39920000000000039</v>
      </c>
      <c r="J38" s="296">
        <v>0.96</v>
      </c>
      <c r="K38" s="130"/>
      <c r="L38" s="223">
        <f t="shared" si="2"/>
        <v>0</v>
      </c>
      <c r="M38" s="222"/>
      <c r="N38" s="223">
        <f t="shared" si="3"/>
        <v>0.39920000000000039</v>
      </c>
      <c r="P38" s="193"/>
    </row>
    <row r="39" spans="1:23" ht="13.5" thickBot="1" x14ac:dyDescent="0.25">
      <c r="A39" s="295">
        <v>32190</v>
      </c>
      <c r="B39" s="295">
        <v>33795</v>
      </c>
      <c r="D39" s="296">
        <v>0.96</v>
      </c>
      <c r="E39" s="129"/>
      <c r="F39" s="221">
        <f t="shared" si="0"/>
        <v>0</v>
      </c>
      <c r="G39" s="220"/>
      <c r="H39" s="221">
        <f t="shared" si="1"/>
        <v>0.39920000000000039</v>
      </c>
      <c r="J39" s="296">
        <v>0.96</v>
      </c>
      <c r="K39" s="130"/>
      <c r="L39" s="223">
        <f t="shared" si="2"/>
        <v>0</v>
      </c>
      <c r="M39" s="222"/>
      <c r="N39" s="223">
        <f t="shared" si="3"/>
        <v>0.39920000000000039</v>
      </c>
      <c r="P39" s="193"/>
    </row>
    <row r="40" spans="1:23" ht="13.5" thickBot="1" x14ac:dyDescent="0.25">
      <c r="A40" s="295">
        <v>33796</v>
      </c>
      <c r="B40" s="295">
        <v>35400</v>
      </c>
      <c r="D40" s="296">
        <v>0.96</v>
      </c>
      <c r="E40" s="129"/>
      <c r="F40" s="221">
        <f t="shared" si="0"/>
        <v>0</v>
      </c>
      <c r="G40" s="220"/>
      <c r="H40" s="221">
        <f t="shared" si="1"/>
        <v>0.39920000000000039</v>
      </c>
      <c r="J40" s="296">
        <v>0.96</v>
      </c>
      <c r="K40" s="130"/>
      <c r="L40" s="223">
        <f t="shared" si="2"/>
        <v>0</v>
      </c>
      <c r="M40" s="222"/>
      <c r="N40" s="223">
        <f t="shared" si="3"/>
        <v>0.39920000000000039</v>
      </c>
      <c r="P40" s="193"/>
    </row>
    <row r="41" spans="1:23" ht="13.5" thickBot="1" x14ac:dyDescent="0.25">
      <c r="A41" s="295">
        <v>35401</v>
      </c>
      <c r="B41" s="295">
        <v>37129</v>
      </c>
      <c r="D41" s="296">
        <v>0.96</v>
      </c>
      <c r="E41" s="129"/>
      <c r="F41" s="221">
        <f t="shared" si="0"/>
        <v>0</v>
      </c>
      <c r="G41" s="220"/>
      <c r="H41" s="221">
        <f t="shared" si="1"/>
        <v>0.39920000000000039</v>
      </c>
      <c r="J41" s="296">
        <v>0.96</v>
      </c>
      <c r="K41" s="130"/>
      <c r="L41" s="223">
        <f t="shared" si="2"/>
        <v>0</v>
      </c>
      <c r="M41" s="222"/>
      <c r="N41" s="223">
        <f t="shared" si="3"/>
        <v>0.39920000000000039</v>
      </c>
      <c r="P41" s="193"/>
    </row>
    <row r="42" spans="1:23" ht="13.5" thickBot="1" x14ac:dyDescent="0.25">
      <c r="A42" s="295">
        <v>37130</v>
      </c>
      <c r="B42" s="295">
        <v>38855</v>
      </c>
      <c r="D42" s="296">
        <v>0.96</v>
      </c>
      <c r="E42" s="129"/>
      <c r="F42" s="221">
        <f t="shared" si="0"/>
        <v>0</v>
      </c>
      <c r="G42" s="220"/>
      <c r="H42" s="221">
        <f t="shared" si="1"/>
        <v>0.39920000000000039</v>
      </c>
      <c r="J42" s="296">
        <v>0.96</v>
      </c>
      <c r="K42" s="130"/>
      <c r="L42" s="223">
        <f t="shared" si="2"/>
        <v>0</v>
      </c>
      <c r="M42" s="222"/>
      <c r="N42" s="223">
        <f t="shared" si="3"/>
        <v>0.39920000000000039</v>
      </c>
      <c r="P42" s="193"/>
    </row>
    <row r="43" spans="1:23" ht="13.5" thickBot="1" x14ac:dyDescent="0.25">
      <c r="A43" s="295">
        <v>38856</v>
      </c>
      <c r="B43" s="295">
        <v>40586</v>
      </c>
      <c r="D43" s="296">
        <v>0.96</v>
      </c>
      <c r="E43" s="129"/>
      <c r="F43" s="221">
        <f t="shared" si="0"/>
        <v>0</v>
      </c>
      <c r="G43" s="220"/>
      <c r="H43" s="221">
        <f t="shared" si="1"/>
        <v>0.39920000000000039</v>
      </c>
      <c r="J43" s="296">
        <v>0.96</v>
      </c>
      <c r="K43" s="130"/>
      <c r="L43" s="223">
        <f t="shared" si="2"/>
        <v>0</v>
      </c>
      <c r="M43" s="222"/>
      <c r="N43" s="223">
        <f t="shared" si="3"/>
        <v>0.39920000000000039</v>
      </c>
      <c r="P43" s="193"/>
    </row>
    <row r="44" spans="1:23" ht="13.5" thickBot="1" x14ac:dyDescent="0.25">
      <c r="A44" s="295">
        <v>40587</v>
      </c>
      <c r="B44" s="295">
        <v>42313</v>
      </c>
      <c r="D44" s="296">
        <v>0.96</v>
      </c>
      <c r="E44" s="129"/>
      <c r="F44" s="221">
        <f t="shared" si="0"/>
        <v>0</v>
      </c>
      <c r="G44" s="220"/>
      <c r="H44" s="221">
        <f t="shared" si="1"/>
        <v>0.39920000000000039</v>
      </c>
      <c r="J44" s="296">
        <v>0.96</v>
      </c>
      <c r="K44" s="130"/>
      <c r="L44" s="223">
        <f t="shared" si="2"/>
        <v>0</v>
      </c>
      <c r="M44" s="222"/>
      <c r="N44" s="223">
        <f t="shared" si="3"/>
        <v>0.39920000000000039</v>
      </c>
      <c r="P44" s="193"/>
    </row>
    <row r="45" spans="1:23" ht="13.5" thickBot="1" x14ac:dyDescent="0.25">
      <c r="A45" s="295">
        <v>42314</v>
      </c>
      <c r="B45" s="295">
        <v>44046</v>
      </c>
      <c r="D45" s="296">
        <v>0.96</v>
      </c>
      <c r="E45" s="129"/>
      <c r="F45" s="221">
        <f t="shared" si="0"/>
        <v>0</v>
      </c>
      <c r="G45" s="220"/>
      <c r="H45" s="221">
        <f t="shared" si="1"/>
        <v>0.39920000000000039</v>
      </c>
      <c r="J45" s="296">
        <v>0.96</v>
      </c>
      <c r="K45" s="130"/>
      <c r="L45" s="223">
        <f t="shared" si="2"/>
        <v>0</v>
      </c>
      <c r="M45" s="222"/>
      <c r="N45" s="223">
        <f t="shared" si="3"/>
        <v>0.39920000000000039</v>
      </c>
      <c r="P45" s="193"/>
    </row>
    <row r="46" spans="1:23" ht="13.5" thickBot="1" x14ac:dyDescent="0.25">
      <c r="A46" s="295">
        <v>44047</v>
      </c>
      <c r="B46" s="295">
        <v>45776</v>
      </c>
      <c r="D46" s="296">
        <v>0.96</v>
      </c>
      <c r="E46" s="129"/>
      <c r="F46" s="221">
        <f t="shared" si="0"/>
        <v>0</v>
      </c>
      <c r="G46" s="220"/>
      <c r="H46" s="221">
        <f t="shared" si="1"/>
        <v>0.39920000000000039</v>
      </c>
      <c r="J46" s="296">
        <v>0.96</v>
      </c>
      <c r="K46" s="130"/>
      <c r="L46" s="223">
        <f t="shared" si="2"/>
        <v>0</v>
      </c>
      <c r="M46" s="222"/>
      <c r="N46" s="223">
        <f t="shared" si="3"/>
        <v>0.39920000000000039</v>
      </c>
      <c r="P46" s="193"/>
      <c r="V46" s="94"/>
      <c r="W46" s="186"/>
    </row>
    <row r="47" spans="1:23" ht="13.5" thickBot="1" x14ac:dyDescent="0.25">
      <c r="A47" s="295">
        <v>45777</v>
      </c>
      <c r="B47" s="295">
        <v>47546</v>
      </c>
      <c r="D47" s="296">
        <v>0.96</v>
      </c>
      <c r="E47" s="129"/>
      <c r="F47" s="221">
        <f t="shared" si="0"/>
        <v>0</v>
      </c>
      <c r="G47" s="220"/>
      <c r="H47" s="221">
        <f t="shared" si="1"/>
        <v>0.39920000000000039</v>
      </c>
      <c r="J47" s="296">
        <v>0.96</v>
      </c>
      <c r="K47" s="130"/>
      <c r="L47" s="223">
        <f t="shared" si="2"/>
        <v>0</v>
      </c>
      <c r="M47" s="222"/>
      <c r="N47" s="223">
        <f t="shared" si="3"/>
        <v>0.39920000000000039</v>
      </c>
      <c r="P47" s="193"/>
      <c r="V47" s="94"/>
    </row>
    <row r="48" spans="1:23" ht="13.5" thickBot="1" x14ac:dyDescent="0.25">
      <c r="A48" s="295">
        <v>47547</v>
      </c>
      <c r="B48" s="295">
        <v>49318</v>
      </c>
      <c r="D48" s="296">
        <v>0.96</v>
      </c>
      <c r="E48" s="129"/>
      <c r="F48" s="221">
        <f t="shared" si="0"/>
        <v>0</v>
      </c>
      <c r="G48" s="220"/>
      <c r="H48" s="221">
        <f t="shared" si="1"/>
        <v>0.39920000000000039</v>
      </c>
      <c r="J48" s="296">
        <v>0.96</v>
      </c>
      <c r="K48" s="130"/>
      <c r="L48" s="223">
        <f t="shared" si="2"/>
        <v>0</v>
      </c>
      <c r="M48" s="222"/>
      <c r="N48" s="223">
        <f t="shared" si="3"/>
        <v>0.39920000000000039</v>
      </c>
      <c r="P48" s="193"/>
      <c r="V48" s="94"/>
    </row>
    <row r="49" spans="1:16" ht="13.5" thickBot="1" x14ac:dyDescent="0.25">
      <c r="A49" s="295">
        <v>49319</v>
      </c>
      <c r="B49" s="295">
        <v>51092</v>
      </c>
      <c r="D49" s="296">
        <v>0.96</v>
      </c>
      <c r="E49" s="129"/>
      <c r="F49" s="221">
        <f t="shared" si="0"/>
        <v>0</v>
      </c>
      <c r="G49" s="220"/>
      <c r="H49" s="221">
        <f t="shared" si="1"/>
        <v>0.39920000000000039</v>
      </c>
      <c r="J49" s="296">
        <v>0.96</v>
      </c>
      <c r="K49" s="130"/>
      <c r="L49" s="223">
        <f t="shared" si="2"/>
        <v>0</v>
      </c>
      <c r="M49" s="222"/>
      <c r="N49" s="223">
        <f t="shared" si="3"/>
        <v>0.39920000000000039</v>
      </c>
      <c r="P49" s="193"/>
    </row>
    <row r="50" spans="1:16" ht="13.5" thickBot="1" x14ac:dyDescent="0.25">
      <c r="A50" s="295">
        <v>51093</v>
      </c>
      <c r="B50" s="295">
        <v>52864</v>
      </c>
      <c r="D50" s="296">
        <v>0.96</v>
      </c>
      <c r="E50" s="129"/>
      <c r="F50" s="221">
        <f t="shared" si="0"/>
        <v>0</v>
      </c>
      <c r="G50" s="220"/>
      <c r="H50" s="221">
        <f t="shared" si="1"/>
        <v>0.39920000000000039</v>
      </c>
      <c r="J50" s="296">
        <v>0.96</v>
      </c>
      <c r="K50" s="130"/>
      <c r="L50" s="223">
        <f t="shared" si="2"/>
        <v>0</v>
      </c>
      <c r="M50" s="222"/>
      <c r="N50" s="223">
        <f t="shared" si="3"/>
        <v>0.39920000000000039</v>
      </c>
      <c r="P50" s="193"/>
    </row>
    <row r="51" spans="1:16" ht="13.5" thickBot="1" x14ac:dyDescent="0.25">
      <c r="A51" s="295">
        <v>52865</v>
      </c>
      <c r="B51" s="295">
        <v>54641</v>
      </c>
      <c r="D51" s="296">
        <v>0.96</v>
      </c>
      <c r="E51" s="129"/>
      <c r="F51" s="221">
        <f t="shared" si="0"/>
        <v>0</v>
      </c>
      <c r="G51" s="220"/>
      <c r="H51" s="221">
        <f t="shared" si="1"/>
        <v>0.39920000000000039</v>
      </c>
      <c r="J51" s="296">
        <v>0.96</v>
      </c>
      <c r="K51" s="130"/>
      <c r="L51" s="223">
        <f t="shared" si="2"/>
        <v>0</v>
      </c>
      <c r="M51" s="222"/>
      <c r="N51" s="223">
        <f t="shared" si="3"/>
        <v>0.39920000000000039</v>
      </c>
      <c r="P51" s="193"/>
    </row>
    <row r="52" spans="1:16" ht="13.5" thickBot="1" x14ac:dyDescent="0.25">
      <c r="A52" s="295">
        <v>54642</v>
      </c>
      <c r="B52" s="295">
        <v>56412</v>
      </c>
      <c r="D52" s="296">
        <v>0.96</v>
      </c>
      <c r="E52" s="129"/>
      <c r="F52" s="221">
        <f t="shared" si="0"/>
        <v>0</v>
      </c>
      <c r="G52" s="220"/>
      <c r="H52" s="221">
        <f t="shared" si="1"/>
        <v>0.39920000000000039</v>
      </c>
      <c r="J52" s="296">
        <v>0.96</v>
      </c>
      <c r="K52" s="130"/>
      <c r="L52" s="223">
        <f t="shared" si="2"/>
        <v>0</v>
      </c>
      <c r="M52" s="222"/>
      <c r="N52" s="223">
        <f t="shared" si="3"/>
        <v>0.39920000000000039</v>
      </c>
      <c r="P52" s="193"/>
    </row>
    <row r="53" spans="1:16" ht="13.5" thickBot="1" x14ac:dyDescent="0.25">
      <c r="A53" s="295">
        <v>56413</v>
      </c>
      <c r="B53" s="295">
        <v>58184</v>
      </c>
      <c r="D53" s="296">
        <v>0.95499999999999996</v>
      </c>
      <c r="E53" s="129"/>
      <c r="F53" s="221">
        <f t="shared" si="0"/>
        <v>0</v>
      </c>
      <c r="G53" s="220"/>
      <c r="H53" s="221">
        <f t="shared" si="1"/>
        <v>0.44910000000000044</v>
      </c>
      <c r="J53" s="296">
        <v>0.95599999999999996</v>
      </c>
      <c r="K53" s="130"/>
      <c r="L53" s="223">
        <f t="shared" si="2"/>
        <v>0</v>
      </c>
      <c r="M53" s="222"/>
      <c r="N53" s="223">
        <f t="shared" si="3"/>
        <v>0.4391200000000004</v>
      </c>
      <c r="P53" s="193"/>
    </row>
    <row r="54" spans="1:16" ht="13.5" thickBot="1" x14ac:dyDescent="0.25">
      <c r="A54" s="295">
        <v>58185</v>
      </c>
      <c r="B54" s="295">
        <v>59957</v>
      </c>
      <c r="D54" s="296">
        <v>0.94799999999999995</v>
      </c>
      <c r="E54" s="129"/>
      <c r="F54" s="221">
        <f t="shared" si="0"/>
        <v>0</v>
      </c>
      <c r="G54" s="220"/>
      <c r="H54" s="221">
        <f t="shared" si="1"/>
        <v>0.51896000000000053</v>
      </c>
      <c r="J54" s="296">
        <v>0.95599999999999996</v>
      </c>
      <c r="K54" s="130"/>
      <c r="L54" s="223">
        <f t="shared" si="2"/>
        <v>0</v>
      </c>
      <c r="M54" s="222"/>
      <c r="N54" s="223">
        <f t="shared" si="3"/>
        <v>0.4391200000000004</v>
      </c>
      <c r="P54" s="193"/>
    </row>
    <row r="55" spans="1:16" ht="13.5" thickBot="1" x14ac:dyDescent="0.25">
      <c r="A55" s="295">
        <v>59958</v>
      </c>
      <c r="B55" s="295">
        <v>61895</v>
      </c>
      <c r="D55" s="296">
        <v>0.93899999999999995</v>
      </c>
      <c r="E55" s="129"/>
      <c r="F55" s="221">
        <f t="shared" si="0"/>
        <v>0</v>
      </c>
      <c r="G55" s="220"/>
      <c r="H55" s="221">
        <f t="shared" si="1"/>
        <v>0.60878000000000054</v>
      </c>
      <c r="J55" s="296">
        <v>0.95599999999999996</v>
      </c>
      <c r="K55" s="130"/>
      <c r="L55" s="223">
        <f t="shared" si="2"/>
        <v>0</v>
      </c>
      <c r="M55" s="222"/>
      <c r="N55" s="223">
        <f t="shared" si="3"/>
        <v>0.4391200000000004</v>
      </c>
      <c r="P55" s="193"/>
    </row>
    <row r="56" spans="1:16" ht="13.5" thickBot="1" x14ac:dyDescent="0.25">
      <c r="A56" s="295">
        <v>61896</v>
      </c>
      <c r="B56" s="295">
        <v>65695</v>
      </c>
      <c r="D56" s="296">
        <v>0.92400000000000004</v>
      </c>
      <c r="E56" s="129"/>
      <c r="F56" s="221">
        <f t="shared" si="0"/>
        <v>0</v>
      </c>
      <c r="G56" s="220"/>
      <c r="H56" s="221">
        <f t="shared" si="1"/>
        <v>0.7584799999999996</v>
      </c>
      <c r="J56" s="296">
        <v>0.95599999999999996</v>
      </c>
      <c r="K56" s="130"/>
      <c r="L56" s="223">
        <f t="shared" si="2"/>
        <v>0</v>
      </c>
      <c r="M56" s="222"/>
      <c r="N56" s="223">
        <f t="shared" si="3"/>
        <v>0.4391200000000004</v>
      </c>
      <c r="P56" s="193"/>
    </row>
    <row r="57" spans="1:16" ht="13.5" thickBot="1" x14ac:dyDescent="0.25">
      <c r="A57" s="295">
        <v>65696</v>
      </c>
      <c r="B57" s="295">
        <v>69492</v>
      </c>
      <c r="D57" s="296">
        <v>0.91600000000000004</v>
      </c>
      <c r="E57" s="129"/>
      <c r="F57" s="221">
        <f t="shared" si="0"/>
        <v>0</v>
      </c>
      <c r="G57" s="220"/>
      <c r="H57" s="221">
        <f t="shared" si="1"/>
        <v>0.83831999999999962</v>
      </c>
      <c r="J57" s="296">
        <v>0.95199999999999996</v>
      </c>
      <c r="K57" s="130"/>
      <c r="L57" s="223">
        <f t="shared" si="2"/>
        <v>0</v>
      </c>
      <c r="M57" s="222"/>
      <c r="N57" s="223">
        <f t="shared" si="3"/>
        <v>0.47904000000000047</v>
      </c>
      <c r="P57" s="193"/>
    </row>
    <row r="58" spans="1:16" ht="13.5" thickBot="1" x14ac:dyDescent="0.25">
      <c r="A58" s="295">
        <v>69493</v>
      </c>
      <c r="B58" s="295">
        <v>73292</v>
      </c>
      <c r="D58" s="296">
        <v>0.90500000000000003</v>
      </c>
      <c r="E58" s="129"/>
      <c r="F58" s="221">
        <f t="shared" si="0"/>
        <v>0</v>
      </c>
      <c r="G58" s="220"/>
      <c r="H58" s="221">
        <f t="shared" si="1"/>
        <v>0.94809999999999972</v>
      </c>
      <c r="J58" s="296">
        <v>0.94599999999999995</v>
      </c>
      <c r="K58" s="130"/>
      <c r="L58" s="223">
        <f t="shared" si="2"/>
        <v>0</v>
      </c>
      <c r="M58" s="222"/>
      <c r="N58" s="223">
        <f t="shared" si="3"/>
        <v>0.53892000000000051</v>
      </c>
      <c r="P58" s="193"/>
    </row>
    <row r="59" spans="1:16" ht="13.5" thickBot="1" x14ac:dyDescent="0.25">
      <c r="A59" s="295">
        <v>73293</v>
      </c>
      <c r="B59" s="295">
        <v>77094</v>
      </c>
      <c r="D59" s="296">
        <v>0.88200000000000001</v>
      </c>
      <c r="E59" s="129"/>
      <c r="F59" s="221">
        <f t="shared" si="0"/>
        <v>0</v>
      </c>
      <c r="G59" s="220"/>
      <c r="H59" s="221">
        <f t="shared" si="1"/>
        <v>1.17764</v>
      </c>
      <c r="J59" s="296">
        <v>0.94199999999999995</v>
      </c>
      <c r="K59" s="130"/>
      <c r="L59" s="223">
        <f t="shared" si="2"/>
        <v>0</v>
      </c>
      <c r="M59" s="222"/>
      <c r="N59" s="223">
        <f t="shared" si="3"/>
        <v>0.57884000000000058</v>
      </c>
      <c r="P59" s="193"/>
    </row>
    <row r="60" spans="1:16" ht="13.5" thickBot="1" x14ac:dyDescent="0.25">
      <c r="A60" s="295">
        <v>77095</v>
      </c>
      <c r="B60" s="295">
        <v>80891</v>
      </c>
      <c r="D60" s="296">
        <v>0.85899999999999999</v>
      </c>
      <c r="E60" s="129"/>
      <c r="F60" s="221">
        <f t="shared" si="0"/>
        <v>0</v>
      </c>
      <c r="G60" s="220"/>
      <c r="H60" s="221">
        <f t="shared" si="1"/>
        <v>1.4071800000000001</v>
      </c>
      <c r="J60" s="296">
        <v>0.93899999999999995</v>
      </c>
      <c r="K60" s="130"/>
      <c r="L60" s="223">
        <f t="shared" si="2"/>
        <v>0</v>
      </c>
      <c r="M60" s="222"/>
      <c r="N60" s="223">
        <f t="shared" si="3"/>
        <v>0.60878000000000054</v>
      </c>
      <c r="P60" s="193"/>
    </row>
    <row r="61" spans="1:16" ht="13.5" thickBot="1" x14ac:dyDescent="0.25">
      <c r="A61" s="295">
        <v>80892</v>
      </c>
      <c r="B61" s="295">
        <v>84693</v>
      </c>
      <c r="D61" s="296">
        <v>0.83699999999999997</v>
      </c>
      <c r="E61" s="129"/>
      <c r="F61" s="221">
        <f t="shared" si="0"/>
        <v>0</v>
      </c>
      <c r="G61" s="220"/>
      <c r="H61" s="221">
        <f t="shared" si="1"/>
        <v>1.6267400000000003</v>
      </c>
      <c r="J61" s="296">
        <v>0.93200000000000005</v>
      </c>
      <c r="K61" s="130"/>
      <c r="L61" s="223">
        <f t="shared" si="2"/>
        <v>0</v>
      </c>
      <c r="M61" s="222"/>
      <c r="N61" s="223">
        <f t="shared" si="3"/>
        <v>0.67863999999999958</v>
      </c>
      <c r="P61" s="193"/>
    </row>
    <row r="62" spans="1:16" ht="13.5" thickBot="1" x14ac:dyDescent="0.25">
      <c r="A62" s="295">
        <v>84694</v>
      </c>
      <c r="B62" s="295">
        <v>88491</v>
      </c>
      <c r="D62" s="296">
        <v>0.81200000000000006</v>
      </c>
      <c r="E62" s="129"/>
      <c r="F62" s="221">
        <f t="shared" si="0"/>
        <v>0</v>
      </c>
      <c r="G62" s="220"/>
      <c r="H62" s="221">
        <f t="shared" si="1"/>
        <v>1.8762399999999995</v>
      </c>
      <c r="J62" s="296">
        <v>0.92700000000000005</v>
      </c>
      <c r="K62" s="130"/>
      <c r="L62" s="223">
        <f t="shared" si="2"/>
        <v>0</v>
      </c>
      <c r="M62" s="222"/>
      <c r="N62" s="223">
        <f t="shared" si="3"/>
        <v>0.72853999999999952</v>
      </c>
      <c r="P62" s="193"/>
    </row>
    <row r="63" spans="1:16" ht="13.5" thickBot="1" x14ac:dyDescent="0.25">
      <c r="A63" s="295">
        <v>88492</v>
      </c>
      <c r="B63" s="295">
        <v>92291</v>
      </c>
      <c r="D63" s="296">
        <v>0.78900000000000003</v>
      </c>
      <c r="E63" s="129"/>
      <c r="F63" s="221">
        <f t="shared" si="0"/>
        <v>0</v>
      </c>
      <c r="G63" s="220"/>
      <c r="H63" s="221">
        <f t="shared" si="1"/>
        <v>2.1057799999999998</v>
      </c>
      <c r="J63" s="296">
        <v>0.92200000000000004</v>
      </c>
      <c r="K63" s="130"/>
      <c r="L63" s="223">
        <f t="shared" si="2"/>
        <v>0</v>
      </c>
      <c r="M63" s="222"/>
      <c r="N63" s="223">
        <f t="shared" si="3"/>
        <v>0.77843999999999958</v>
      </c>
      <c r="P63" s="193"/>
    </row>
    <row r="64" spans="1:16" ht="13.5" thickBot="1" x14ac:dyDescent="0.25">
      <c r="A64" s="295">
        <v>92292</v>
      </c>
      <c r="B64" s="295">
        <v>96091</v>
      </c>
      <c r="D64" s="296">
        <v>0.76700000000000002</v>
      </c>
      <c r="E64" s="129"/>
      <c r="F64" s="221">
        <f t="shared" si="0"/>
        <v>0</v>
      </c>
      <c r="G64" s="220"/>
      <c r="H64" s="221">
        <f t="shared" si="1"/>
        <v>2.3253399999999997</v>
      </c>
      <c r="J64" s="296">
        <v>0.91500000000000004</v>
      </c>
      <c r="K64" s="130"/>
      <c r="L64" s="223">
        <f t="shared" si="2"/>
        <v>0</v>
      </c>
      <c r="M64" s="222"/>
      <c r="N64" s="223">
        <f t="shared" si="3"/>
        <v>0.84829999999999972</v>
      </c>
      <c r="P64" s="193"/>
    </row>
    <row r="65" spans="1:16" ht="13.5" thickBot="1" x14ac:dyDescent="0.25">
      <c r="A65" s="295">
        <v>96092</v>
      </c>
      <c r="B65" s="295">
        <v>99889</v>
      </c>
      <c r="D65" s="296">
        <v>0.74299999999999999</v>
      </c>
      <c r="E65" s="129"/>
      <c r="F65" s="221">
        <f t="shared" si="0"/>
        <v>0</v>
      </c>
      <c r="G65" s="220"/>
      <c r="H65" s="221">
        <f t="shared" si="1"/>
        <v>2.5648600000000004</v>
      </c>
      <c r="J65" s="296">
        <v>0.90900000000000003</v>
      </c>
      <c r="K65" s="130"/>
      <c r="L65" s="223">
        <f t="shared" si="2"/>
        <v>0</v>
      </c>
      <c r="M65" s="222"/>
      <c r="N65" s="223">
        <f t="shared" si="3"/>
        <v>0.90817999999999977</v>
      </c>
      <c r="P65" s="193"/>
    </row>
    <row r="66" spans="1:16" ht="13.5" thickBot="1" x14ac:dyDescent="0.25">
      <c r="A66" s="295">
        <v>99890</v>
      </c>
      <c r="B66" s="295">
        <v>103694</v>
      </c>
      <c r="D66" s="296">
        <v>0.72099999999999997</v>
      </c>
      <c r="E66" s="129"/>
      <c r="F66" s="221">
        <f t="shared" si="0"/>
        <v>0</v>
      </c>
      <c r="G66" s="220"/>
      <c r="H66" s="221">
        <f t="shared" si="1"/>
        <v>2.7844200000000003</v>
      </c>
      <c r="J66" s="296">
        <v>0.90500000000000003</v>
      </c>
      <c r="K66" s="130"/>
      <c r="L66" s="223">
        <f t="shared" si="2"/>
        <v>0</v>
      </c>
      <c r="M66" s="222"/>
      <c r="N66" s="223">
        <f t="shared" si="3"/>
        <v>0.94809999999999972</v>
      </c>
      <c r="P66" s="193"/>
    </row>
    <row r="67" spans="1:16" ht="13.5" thickBot="1" x14ac:dyDescent="0.25">
      <c r="A67" s="295">
        <v>103695</v>
      </c>
      <c r="B67" s="295">
        <v>107492</v>
      </c>
      <c r="D67" s="296">
        <v>0.69599999999999995</v>
      </c>
      <c r="E67" s="129"/>
      <c r="F67" s="221">
        <f t="shared" si="0"/>
        <v>0</v>
      </c>
      <c r="G67" s="220"/>
      <c r="H67" s="221">
        <f t="shared" si="1"/>
        <v>3.0339200000000006</v>
      </c>
      <c r="J67" s="296">
        <v>0.90200000000000002</v>
      </c>
      <c r="K67" s="130"/>
      <c r="L67" s="223">
        <f t="shared" si="2"/>
        <v>0</v>
      </c>
      <c r="M67" s="222"/>
      <c r="N67" s="223">
        <f t="shared" si="3"/>
        <v>0.9780399999999998</v>
      </c>
      <c r="P67" s="193"/>
    </row>
    <row r="68" spans="1:16" ht="13.5" thickBot="1" x14ac:dyDescent="0.25">
      <c r="A68" s="295">
        <v>107493</v>
      </c>
      <c r="B68" s="295">
        <v>111290</v>
      </c>
      <c r="D68" s="296">
        <v>0.67300000000000004</v>
      </c>
      <c r="E68" s="129"/>
      <c r="F68" s="221">
        <f t="shared" si="0"/>
        <v>0</v>
      </c>
      <c r="G68" s="220"/>
      <c r="H68" s="221">
        <f t="shared" si="1"/>
        <v>3.2634599999999998</v>
      </c>
      <c r="J68" s="296">
        <v>0.89500000000000002</v>
      </c>
      <c r="K68" s="130"/>
      <c r="L68" s="223">
        <f t="shared" si="2"/>
        <v>0</v>
      </c>
      <c r="M68" s="222"/>
      <c r="N68" s="223">
        <f t="shared" si="3"/>
        <v>1.0478999999999998</v>
      </c>
      <c r="P68" s="193"/>
    </row>
    <row r="69" spans="1:16" ht="13.5" thickBot="1" x14ac:dyDescent="0.25">
      <c r="A69" s="295">
        <v>111291</v>
      </c>
      <c r="B69" s="295">
        <v>115090</v>
      </c>
      <c r="D69" s="296">
        <v>0.65100000000000002</v>
      </c>
      <c r="E69" s="129"/>
      <c r="F69" s="221">
        <f t="shared" si="0"/>
        <v>0</v>
      </c>
      <c r="G69" s="220"/>
      <c r="H69" s="221">
        <f t="shared" si="1"/>
        <v>3.4830199999999998</v>
      </c>
      <c r="J69" s="296">
        <v>0.89100000000000001</v>
      </c>
      <c r="K69" s="130"/>
      <c r="L69" s="223">
        <f t="shared" si="2"/>
        <v>0</v>
      </c>
      <c r="M69" s="222"/>
      <c r="N69" s="223">
        <f t="shared" si="3"/>
        <v>1.08782</v>
      </c>
      <c r="P69" s="193"/>
    </row>
    <row r="70" spans="1:16" ht="13.5" thickBot="1" x14ac:dyDescent="0.25">
      <c r="A70" s="295">
        <v>115091</v>
      </c>
      <c r="B70" s="295">
        <v>118963</v>
      </c>
      <c r="D70" s="296">
        <v>0.627</v>
      </c>
      <c r="E70" s="129"/>
      <c r="F70" s="221">
        <f t="shared" si="0"/>
        <v>0</v>
      </c>
      <c r="G70" s="220"/>
      <c r="H70" s="221">
        <f t="shared" si="1"/>
        <v>3.72254</v>
      </c>
      <c r="J70" s="296">
        <v>0.88600000000000001</v>
      </c>
      <c r="K70" s="130"/>
      <c r="L70" s="223">
        <f t="shared" si="2"/>
        <v>0</v>
      </c>
      <c r="M70" s="222"/>
      <c r="N70" s="223">
        <f t="shared" si="3"/>
        <v>1.1377199999999998</v>
      </c>
      <c r="P70" s="193"/>
    </row>
    <row r="71" spans="1:16" ht="13.5" thickBot="1" x14ac:dyDescent="0.25">
      <c r="A71" s="295">
        <v>118964</v>
      </c>
      <c r="B71" s="295">
        <v>122857</v>
      </c>
      <c r="D71" s="296">
        <v>0.60599999999999998</v>
      </c>
      <c r="E71" s="129"/>
      <c r="F71" s="221">
        <f t="shared" si="0"/>
        <v>0</v>
      </c>
      <c r="G71" s="220"/>
      <c r="H71" s="221">
        <f t="shared" si="1"/>
        <v>3.9321200000000003</v>
      </c>
      <c r="J71" s="296">
        <v>0.879</v>
      </c>
      <c r="K71" s="130"/>
      <c r="L71" s="223">
        <f t="shared" si="2"/>
        <v>0</v>
      </c>
      <c r="M71" s="222"/>
      <c r="N71" s="223">
        <f t="shared" si="3"/>
        <v>1.2075800000000001</v>
      </c>
      <c r="P71" s="193"/>
    </row>
    <row r="72" spans="1:16" ht="13.5" thickBot="1" x14ac:dyDescent="0.25">
      <c r="A72" s="295">
        <v>122858</v>
      </c>
      <c r="B72" s="295">
        <v>126747</v>
      </c>
      <c r="D72" s="296">
        <v>0.58499999999999996</v>
      </c>
      <c r="E72" s="129"/>
      <c r="F72" s="221">
        <f t="shared" si="0"/>
        <v>0</v>
      </c>
      <c r="G72" s="220"/>
      <c r="H72" s="221">
        <f t="shared" si="1"/>
        <v>4.1417000000000002</v>
      </c>
      <c r="J72" s="296">
        <v>0.874</v>
      </c>
      <c r="K72" s="130"/>
      <c r="L72" s="223">
        <f t="shared" si="2"/>
        <v>0</v>
      </c>
      <c r="M72" s="222"/>
      <c r="N72" s="223">
        <f t="shared" si="3"/>
        <v>1.2574800000000002</v>
      </c>
      <c r="P72" s="193"/>
    </row>
    <row r="73" spans="1:16" ht="13.5" thickBot="1" x14ac:dyDescent="0.25">
      <c r="A73" s="295">
        <v>126748</v>
      </c>
      <c r="B73" s="295">
        <v>130638</v>
      </c>
      <c r="D73" s="296">
        <v>0.56399999999999995</v>
      </c>
      <c r="E73" s="129"/>
      <c r="F73" s="221">
        <f t="shared" si="0"/>
        <v>0</v>
      </c>
      <c r="G73" s="220"/>
      <c r="H73" s="221">
        <f t="shared" si="1"/>
        <v>4.3512800000000009</v>
      </c>
      <c r="J73" s="296">
        <v>0.87</v>
      </c>
      <c r="K73" s="130"/>
      <c r="L73" s="223">
        <f t="shared" si="2"/>
        <v>0</v>
      </c>
      <c r="M73" s="222"/>
      <c r="N73" s="223">
        <f t="shared" si="3"/>
        <v>1.2974000000000001</v>
      </c>
      <c r="P73" s="193"/>
    </row>
    <row r="74" spans="1:16" ht="13.5" thickBot="1" x14ac:dyDescent="0.25">
      <c r="A74" s="295">
        <v>130639</v>
      </c>
      <c r="B74" s="295">
        <v>134527</v>
      </c>
      <c r="D74" s="296">
        <v>0.54200000000000004</v>
      </c>
      <c r="E74" s="129"/>
      <c r="F74" s="221">
        <f t="shared" si="0"/>
        <v>0</v>
      </c>
      <c r="G74" s="220"/>
      <c r="H74" s="221">
        <f t="shared" si="1"/>
        <v>4.5708399999999996</v>
      </c>
      <c r="J74" s="296">
        <v>0.86699999999999999</v>
      </c>
      <c r="K74" s="130"/>
      <c r="L74" s="223">
        <f t="shared" si="2"/>
        <v>0</v>
      </c>
      <c r="M74" s="222"/>
      <c r="N74" s="223">
        <f t="shared" si="3"/>
        <v>1.3273400000000002</v>
      </c>
      <c r="P74" s="193"/>
    </row>
    <row r="75" spans="1:16" ht="13.5" thickBot="1" x14ac:dyDescent="0.25">
      <c r="A75" s="295">
        <v>134528</v>
      </c>
      <c r="B75" s="295">
        <v>138420</v>
      </c>
      <c r="D75" s="296">
        <v>0.52300000000000002</v>
      </c>
      <c r="E75" s="129"/>
      <c r="F75" s="221">
        <f t="shared" si="0"/>
        <v>0</v>
      </c>
      <c r="G75" s="220"/>
      <c r="H75" s="221">
        <f t="shared" si="1"/>
        <v>4.7604600000000001</v>
      </c>
      <c r="J75" s="296">
        <v>0.86</v>
      </c>
      <c r="K75" s="130"/>
      <c r="L75" s="223">
        <f t="shared" si="2"/>
        <v>0</v>
      </c>
      <c r="M75" s="222"/>
      <c r="N75" s="223">
        <f t="shared" si="3"/>
        <v>1.3972000000000002</v>
      </c>
      <c r="P75" s="193"/>
    </row>
    <row r="76" spans="1:16" ht="13.5" thickBot="1" x14ac:dyDescent="0.25">
      <c r="A76" s="295">
        <v>138421</v>
      </c>
      <c r="B76" s="295">
        <v>142312</v>
      </c>
      <c r="D76" s="296">
        <v>0.504</v>
      </c>
      <c r="E76" s="129"/>
      <c r="F76" s="221">
        <f t="shared" si="0"/>
        <v>0</v>
      </c>
      <c r="G76" s="220"/>
      <c r="H76" s="221">
        <f t="shared" si="1"/>
        <v>4.9500799999999998</v>
      </c>
      <c r="J76" s="296">
        <v>0.85399999999999998</v>
      </c>
      <c r="K76" s="130"/>
      <c r="L76" s="223">
        <f t="shared" si="2"/>
        <v>0</v>
      </c>
      <c r="M76" s="222"/>
      <c r="N76" s="223">
        <f t="shared" si="3"/>
        <v>1.4570800000000002</v>
      </c>
      <c r="P76" s="193"/>
    </row>
    <row r="77" spans="1:16" ht="13.5" thickBot="1" x14ac:dyDescent="0.25">
      <c r="A77" s="295">
        <v>142313</v>
      </c>
      <c r="B77" s="295">
        <v>146205</v>
      </c>
      <c r="D77" s="296">
        <v>0.48499999999999999</v>
      </c>
      <c r="E77" s="129"/>
      <c r="F77" s="221">
        <f t="shared" si="0"/>
        <v>0</v>
      </c>
      <c r="G77" s="220"/>
      <c r="H77" s="221">
        <f t="shared" si="1"/>
        <v>5.1397000000000004</v>
      </c>
      <c r="J77" s="296">
        <v>0.85</v>
      </c>
      <c r="K77" s="130"/>
      <c r="L77" s="223">
        <f t="shared" si="2"/>
        <v>0</v>
      </c>
      <c r="M77" s="222"/>
      <c r="N77" s="223">
        <f t="shared" si="3"/>
        <v>1.4970000000000003</v>
      </c>
      <c r="P77" s="193"/>
    </row>
    <row r="78" spans="1:16" ht="13.5" thickBot="1" x14ac:dyDescent="0.25">
      <c r="A78" s="295">
        <v>146206</v>
      </c>
      <c r="B78" s="295">
        <v>150092</v>
      </c>
      <c r="D78" s="296">
        <v>0.46500000000000002</v>
      </c>
      <c r="E78" s="129"/>
      <c r="F78" s="221">
        <f t="shared" si="0"/>
        <v>0</v>
      </c>
      <c r="G78" s="220"/>
      <c r="H78" s="221">
        <f t="shared" si="1"/>
        <v>5.3392999999999997</v>
      </c>
      <c r="J78" s="296">
        <v>0.84399999999999997</v>
      </c>
      <c r="K78" s="130"/>
      <c r="L78" s="223">
        <f t="shared" si="2"/>
        <v>0</v>
      </c>
      <c r="M78" s="222"/>
      <c r="N78" s="223">
        <f t="shared" si="3"/>
        <v>1.5568800000000003</v>
      </c>
      <c r="O78" s="95"/>
      <c r="P78" s="193"/>
    </row>
    <row r="79" spans="1:16" ht="13.5" thickBot="1" x14ac:dyDescent="0.25">
      <c r="A79" s="295">
        <v>150093</v>
      </c>
      <c r="B79" s="295">
        <v>153982</v>
      </c>
      <c r="D79" s="296">
        <v>0.44500000000000001</v>
      </c>
      <c r="E79" s="129"/>
      <c r="F79" s="221">
        <f t="shared" si="0"/>
        <v>0</v>
      </c>
      <c r="G79" s="220"/>
      <c r="H79" s="221">
        <f t="shared" si="1"/>
        <v>5.5388999999999999</v>
      </c>
      <c r="J79" s="296">
        <v>0.84</v>
      </c>
      <c r="K79" s="130"/>
      <c r="L79" s="223">
        <f t="shared" si="2"/>
        <v>0</v>
      </c>
      <c r="M79" s="222"/>
      <c r="N79" s="223">
        <f t="shared" si="3"/>
        <v>1.5968000000000004</v>
      </c>
      <c r="P79" s="193"/>
    </row>
    <row r="80" spans="1:16" ht="13.5" thickBot="1" x14ac:dyDescent="0.25">
      <c r="A80" s="295">
        <v>153983</v>
      </c>
      <c r="B80" s="295">
        <v>157877</v>
      </c>
      <c r="D80" s="296">
        <v>0.42499999999999999</v>
      </c>
      <c r="E80" s="129"/>
      <c r="F80" s="221">
        <f t="shared" si="0"/>
        <v>0</v>
      </c>
      <c r="G80" s="220"/>
      <c r="H80" s="221">
        <f t="shared" si="1"/>
        <v>5.7385000000000002</v>
      </c>
      <c r="J80" s="296">
        <v>0.83299999999999996</v>
      </c>
      <c r="K80" s="130"/>
      <c r="L80" s="223">
        <f t="shared" si="2"/>
        <v>0</v>
      </c>
      <c r="M80" s="222"/>
      <c r="N80" s="223">
        <f t="shared" si="3"/>
        <v>1.6666600000000005</v>
      </c>
      <c r="P80" s="193"/>
    </row>
    <row r="81" spans="1:16" ht="13.5" thickBot="1" x14ac:dyDescent="0.25">
      <c r="A81" s="295">
        <v>157878</v>
      </c>
      <c r="B81" s="295">
        <v>161766</v>
      </c>
      <c r="D81" s="296">
        <v>0.40500000000000003</v>
      </c>
      <c r="E81" s="129"/>
      <c r="F81" s="221">
        <f t="shared" si="0"/>
        <v>0</v>
      </c>
      <c r="G81" s="220"/>
      <c r="H81" s="221">
        <f t="shared" si="1"/>
        <v>5.9381000000000004</v>
      </c>
      <c r="J81" s="296">
        <v>0.82699999999999996</v>
      </c>
      <c r="K81" s="130"/>
      <c r="L81" s="223">
        <f t="shared" si="2"/>
        <v>0</v>
      </c>
      <c r="M81" s="222"/>
      <c r="N81" s="223">
        <f t="shared" si="3"/>
        <v>1.7265400000000004</v>
      </c>
      <c r="P81" s="193"/>
    </row>
    <row r="82" spans="1:16" ht="13.5" thickBot="1" x14ac:dyDescent="0.25">
      <c r="A82" s="295">
        <v>161767</v>
      </c>
      <c r="B82" s="295">
        <v>165657</v>
      </c>
      <c r="D82" s="296">
        <v>0.38500000000000001</v>
      </c>
      <c r="E82" s="129"/>
      <c r="F82" s="221">
        <f t="shared" si="0"/>
        <v>0</v>
      </c>
      <c r="G82" s="220"/>
      <c r="H82" s="221">
        <f t="shared" si="1"/>
        <v>6.1377000000000006</v>
      </c>
      <c r="J82" s="296">
        <v>0.81699999999999995</v>
      </c>
      <c r="K82" s="130"/>
      <c r="L82" s="223">
        <f t="shared" si="2"/>
        <v>0</v>
      </c>
      <c r="M82" s="222"/>
      <c r="N82" s="223">
        <f t="shared" si="3"/>
        <v>1.8263400000000005</v>
      </c>
      <c r="P82" s="193"/>
    </row>
    <row r="83" spans="1:16" ht="13.5" thickBot="1" x14ac:dyDescent="0.25">
      <c r="A83" s="295">
        <v>165658</v>
      </c>
      <c r="B83" s="295">
        <v>169547</v>
      </c>
      <c r="D83" s="296">
        <v>0.36499999999999999</v>
      </c>
      <c r="E83" s="129"/>
      <c r="F83" s="221">
        <f t="shared" si="0"/>
        <v>0</v>
      </c>
      <c r="G83" s="220"/>
      <c r="H83" s="221">
        <f t="shared" si="1"/>
        <v>6.3372999999999999</v>
      </c>
      <c r="J83" s="296">
        <v>0.81399999999999995</v>
      </c>
      <c r="K83" s="130"/>
      <c r="L83" s="223">
        <f t="shared" si="2"/>
        <v>0</v>
      </c>
      <c r="M83" s="222"/>
      <c r="N83" s="223">
        <f t="shared" si="3"/>
        <v>1.8562800000000006</v>
      </c>
      <c r="P83" s="193"/>
    </row>
    <row r="84" spans="1:16" ht="13.5" thickBot="1" x14ac:dyDescent="0.25">
      <c r="A84" s="295">
        <v>169548</v>
      </c>
      <c r="B84" s="295">
        <v>173440</v>
      </c>
      <c r="D84" s="296">
        <v>0.36499999999999999</v>
      </c>
      <c r="E84" s="129"/>
      <c r="F84" s="221">
        <f t="shared" si="0"/>
        <v>0</v>
      </c>
      <c r="G84" s="220"/>
      <c r="H84" s="221">
        <f t="shared" si="1"/>
        <v>6.3372999999999999</v>
      </c>
      <c r="J84" s="296">
        <v>0.80600000000000005</v>
      </c>
      <c r="K84" s="130"/>
      <c r="L84" s="223">
        <f t="shared" si="2"/>
        <v>0</v>
      </c>
      <c r="M84" s="222"/>
      <c r="N84" s="223">
        <f t="shared" si="3"/>
        <v>1.9361199999999996</v>
      </c>
      <c r="P84" s="193"/>
    </row>
    <row r="85" spans="1:16" ht="13.5" thickBot="1" x14ac:dyDescent="0.25">
      <c r="A85" s="295">
        <v>173441</v>
      </c>
      <c r="B85" s="295">
        <v>177335</v>
      </c>
      <c r="D85" s="296">
        <v>0.36499999999999999</v>
      </c>
      <c r="E85" s="129"/>
      <c r="F85" s="221">
        <f t="shared" si="0"/>
        <v>0</v>
      </c>
      <c r="G85" s="220"/>
      <c r="H85" s="221">
        <f t="shared" si="1"/>
        <v>6.3372999999999999</v>
      </c>
      <c r="J85" s="296">
        <v>0.79700000000000004</v>
      </c>
      <c r="K85" s="130"/>
      <c r="L85" s="223">
        <f t="shared" si="2"/>
        <v>0</v>
      </c>
      <c r="M85" s="222"/>
      <c r="N85" s="223">
        <f t="shared" si="3"/>
        <v>2.0259399999999999</v>
      </c>
      <c r="P85" s="193"/>
    </row>
    <row r="86" spans="1:16" ht="13.5" thickBot="1" x14ac:dyDescent="0.25">
      <c r="A86" s="295">
        <v>177336</v>
      </c>
      <c r="B86" s="295">
        <v>181223</v>
      </c>
      <c r="D86" s="296">
        <v>0.36499999999999999</v>
      </c>
      <c r="E86" s="129"/>
      <c r="F86" s="221">
        <f t="shared" si="0"/>
        <v>0</v>
      </c>
      <c r="G86" s="220"/>
      <c r="H86" s="221">
        <f t="shared" si="1"/>
        <v>6.3372999999999999</v>
      </c>
      <c r="J86" s="296">
        <v>0.79100000000000004</v>
      </c>
      <c r="K86" s="130"/>
      <c r="L86" s="223">
        <f t="shared" si="2"/>
        <v>0</v>
      </c>
      <c r="M86" s="222"/>
      <c r="N86" s="223">
        <f t="shared" si="3"/>
        <v>2.0858199999999996</v>
      </c>
      <c r="P86" s="193"/>
    </row>
    <row r="87" spans="1:16" ht="13.5" thickBot="1" x14ac:dyDescent="0.25">
      <c r="A87" s="295">
        <v>181224</v>
      </c>
      <c r="B87" s="295">
        <v>185114</v>
      </c>
      <c r="D87" s="296">
        <v>0.36499999999999999</v>
      </c>
      <c r="E87" s="129"/>
      <c r="F87" s="221">
        <f t="shared" si="0"/>
        <v>0</v>
      </c>
      <c r="G87" s="220"/>
      <c r="H87" s="221">
        <f t="shared" si="1"/>
        <v>6.3372999999999999</v>
      </c>
      <c r="J87" s="296">
        <v>0.78200000000000003</v>
      </c>
      <c r="K87" s="130"/>
      <c r="L87" s="223">
        <f t="shared" si="2"/>
        <v>0</v>
      </c>
      <c r="M87" s="222"/>
      <c r="N87" s="223">
        <f t="shared" si="3"/>
        <v>2.17564</v>
      </c>
      <c r="P87" s="193"/>
    </row>
    <row r="88" spans="1:16" ht="13.5" thickBot="1" x14ac:dyDescent="0.25">
      <c r="A88" s="295">
        <v>185115</v>
      </c>
      <c r="B88" s="295">
        <v>189002</v>
      </c>
      <c r="D88" s="296">
        <v>0.36499999999999999</v>
      </c>
      <c r="E88" s="129"/>
      <c r="F88" s="221">
        <f t="shared" si="0"/>
        <v>0</v>
      </c>
      <c r="G88" s="220"/>
      <c r="H88" s="221">
        <f t="shared" si="1"/>
        <v>6.3372999999999999</v>
      </c>
      <c r="J88" s="296">
        <v>0.77700000000000002</v>
      </c>
      <c r="K88" s="130"/>
      <c r="L88" s="223">
        <f t="shared" si="2"/>
        <v>0</v>
      </c>
      <c r="M88" s="222"/>
      <c r="N88" s="223">
        <f t="shared" si="3"/>
        <v>2.2255400000000001</v>
      </c>
      <c r="P88" s="193"/>
    </row>
    <row r="89" spans="1:16" ht="13.5" thickBot="1" x14ac:dyDescent="0.25">
      <c r="A89" s="295">
        <v>189003</v>
      </c>
      <c r="B89" s="295">
        <v>192896</v>
      </c>
      <c r="D89" s="296">
        <v>0.36499999999999999</v>
      </c>
      <c r="E89" s="129"/>
      <c r="F89" s="221">
        <f t="shared" si="0"/>
        <v>0</v>
      </c>
      <c r="G89" s="220"/>
      <c r="H89" s="221">
        <f t="shared" si="1"/>
        <v>6.3372999999999999</v>
      </c>
      <c r="J89" s="296">
        <v>0.76900000000000002</v>
      </c>
      <c r="K89" s="130"/>
      <c r="L89" s="223">
        <f t="shared" si="2"/>
        <v>0</v>
      </c>
      <c r="M89" s="222"/>
      <c r="N89" s="223">
        <f t="shared" si="3"/>
        <v>2.30538</v>
      </c>
      <c r="P89" s="193"/>
    </row>
    <row r="90" spans="1:16" ht="13.5" thickBot="1" x14ac:dyDescent="0.25">
      <c r="A90" s="295">
        <v>192897</v>
      </c>
      <c r="B90" s="295">
        <v>196789</v>
      </c>
      <c r="D90" s="296">
        <v>0.36499999999999999</v>
      </c>
      <c r="E90" s="129"/>
      <c r="F90" s="221">
        <f t="shared" si="0"/>
        <v>0</v>
      </c>
      <c r="G90" s="220"/>
      <c r="H90" s="221">
        <f t="shared" si="1"/>
        <v>6.3372999999999999</v>
      </c>
      <c r="J90" s="296">
        <v>0.76200000000000001</v>
      </c>
      <c r="K90" s="130"/>
      <c r="L90" s="223">
        <f t="shared" si="2"/>
        <v>0</v>
      </c>
      <c r="M90" s="222"/>
      <c r="N90" s="223">
        <f t="shared" si="3"/>
        <v>2.3752399999999998</v>
      </c>
      <c r="P90" s="193"/>
    </row>
    <row r="91" spans="1:16" ht="13.5" thickBot="1" x14ac:dyDescent="0.25">
      <c r="A91" s="295">
        <v>196790</v>
      </c>
      <c r="B91" s="295">
        <v>200681</v>
      </c>
      <c r="D91" s="296">
        <v>0.36499999999999999</v>
      </c>
      <c r="E91" s="129"/>
      <c r="F91" s="221">
        <f t="shared" si="0"/>
        <v>0</v>
      </c>
      <c r="G91" s="220"/>
      <c r="H91" s="221">
        <f t="shared" si="1"/>
        <v>6.3372999999999999</v>
      </c>
      <c r="J91" s="296">
        <v>0.755</v>
      </c>
      <c r="K91" s="130"/>
      <c r="L91" s="223">
        <f t="shared" si="2"/>
        <v>0</v>
      </c>
      <c r="M91" s="222"/>
      <c r="N91" s="223">
        <f t="shared" si="3"/>
        <v>2.4451000000000001</v>
      </c>
      <c r="P91" s="193"/>
    </row>
    <row r="92" spans="1:16" ht="13.5" thickBot="1" x14ac:dyDescent="0.25">
      <c r="A92" s="295">
        <v>200682</v>
      </c>
      <c r="B92" s="295">
        <v>204571</v>
      </c>
      <c r="D92" s="296">
        <v>0.36499999999999999</v>
      </c>
      <c r="E92" s="129"/>
      <c r="F92" s="221">
        <f t="shared" si="0"/>
        <v>0</v>
      </c>
      <c r="G92" s="220"/>
      <c r="H92" s="221">
        <f t="shared" si="1"/>
        <v>6.3372999999999999</v>
      </c>
      <c r="J92" s="296">
        <v>0.745</v>
      </c>
      <c r="K92" s="130"/>
      <c r="L92" s="223">
        <f t="shared" si="2"/>
        <v>0</v>
      </c>
      <c r="M92" s="222"/>
      <c r="N92" s="223">
        <f t="shared" si="3"/>
        <v>2.5449000000000002</v>
      </c>
      <c r="P92" s="193"/>
    </row>
    <row r="93" spans="1:16" ht="13.5" thickBot="1" x14ac:dyDescent="0.25">
      <c r="A93" s="295">
        <v>204572</v>
      </c>
      <c r="B93" s="295">
        <v>208458</v>
      </c>
      <c r="D93" s="296">
        <v>0.36499999999999999</v>
      </c>
      <c r="E93" s="129"/>
      <c r="F93" s="221">
        <f t="shared" si="0"/>
        <v>0</v>
      </c>
      <c r="G93" s="220"/>
      <c r="H93" s="221">
        <f t="shared" si="1"/>
        <v>6.3372999999999999</v>
      </c>
      <c r="J93" s="296">
        <v>0.74</v>
      </c>
      <c r="K93" s="130"/>
      <c r="L93" s="223">
        <f t="shared" si="2"/>
        <v>0</v>
      </c>
      <c r="M93" s="222"/>
      <c r="N93" s="223">
        <f t="shared" si="3"/>
        <v>2.5948000000000002</v>
      </c>
      <c r="P93" s="193"/>
    </row>
    <row r="94" spans="1:16" ht="13.5" thickBot="1" x14ac:dyDescent="0.25">
      <c r="A94" s="295">
        <v>208459</v>
      </c>
      <c r="B94" s="295">
        <v>212353</v>
      </c>
      <c r="D94" s="296">
        <v>0.36499999999999999</v>
      </c>
      <c r="E94" s="129"/>
      <c r="F94" s="221">
        <f t="shared" si="0"/>
        <v>0</v>
      </c>
      <c r="G94" s="220"/>
      <c r="H94" s="221">
        <f t="shared" si="1"/>
        <v>6.3372999999999999</v>
      </c>
      <c r="J94" s="296">
        <v>0.73299999999999998</v>
      </c>
      <c r="K94" s="130"/>
      <c r="L94" s="223">
        <f t="shared" si="2"/>
        <v>0</v>
      </c>
      <c r="M94" s="222"/>
      <c r="N94" s="223">
        <f t="shared" si="3"/>
        <v>2.6646600000000005</v>
      </c>
      <c r="P94" s="193"/>
    </row>
    <row r="95" spans="1:16" ht="13.5" thickBot="1" x14ac:dyDescent="0.25">
      <c r="A95" s="295">
        <v>212354</v>
      </c>
      <c r="B95" s="295">
        <v>216242</v>
      </c>
      <c r="D95" s="296">
        <v>0.36499999999999999</v>
      </c>
      <c r="E95" s="129"/>
      <c r="F95" s="221">
        <f t="shared" si="0"/>
        <v>0</v>
      </c>
      <c r="G95" s="220"/>
      <c r="H95" s="221">
        <f t="shared" si="1"/>
        <v>6.3372999999999999</v>
      </c>
      <c r="J95" s="296">
        <v>0.72499999999999998</v>
      </c>
      <c r="K95" s="130"/>
      <c r="L95" s="223">
        <f t="shared" si="2"/>
        <v>0</v>
      </c>
      <c r="M95" s="222"/>
      <c r="N95" s="223">
        <f t="shared" si="3"/>
        <v>2.7445000000000004</v>
      </c>
      <c r="P95" s="193"/>
    </row>
    <row r="96" spans="1:16" ht="13.5" thickBot="1" x14ac:dyDescent="0.25">
      <c r="A96" s="295">
        <v>216243</v>
      </c>
      <c r="B96" s="295">
        <v>220134</v>
      </c>
      <c r="D96" s="296">
        <v>0.36499999999999999</v>
      </c>
      <c r="E96" s="129"/>
      <c r="F96" s="221">
        <f t="shared" si="0"/>
        <v>0</v>
      </c>
      <c r="G96" s="220"/>
      <c r="H96" s="221">
        <f t="shared" si="1"/>
        <v>6.3372999999999999</v>
      </c>
      <c r="J96" s="296">
        <v>0.71799999999999997</v>
      </c>
      <c r="K96" s="130"/>
      <c r="L96" s="223">
        <f t="shared" si="2"/>
        <v>0</v>
      </c>
      <c r="M96" s="222"/>
      <c r="N96" s="223">
        <f t="shared" si="3"/>
        <v>2.8143600000000002</v>
      </c>
      <c r="P96" s="193"/>
    </row>
    <row r="97" spans="1:16" ht="13.5" thickBot="1" x14ac:dyDescent="0.25">
      <c r="A97" s="295">
        <v>220135</v>
      </c>
      <c r="B97" s="295">
        <v>224026</v>
      </c>
      <c r="D97" s="296">
        <v>0.36499999999999999</v>
      </c>
      <c r="E97" s="129"/>
      <c r="F97" s="221">
        <f t="shared" si="0"/>
        <v>0</v>
      </c>
      <c r="G97" s="220"/>
      <c r="H97" s="221">
        <f t="shared" si="1"/>
        <v>6.3372999999999999</v>
      </c>
      <c r="J97" s="296">
        <v>0.71199999999999997</v>
      </c>
      <c r="K97" s="130"/>
      <c r="L97" s="223">
        <f t="shared" si="2"/>
        <v>0</v>
      </c>
      <c r="M97" s="222"/>
      <c r="N97" s="223">
        <f t="shared" si="3"/>
        <v>2.8742400000000004</v>
      </c>
      <c r="P97" s="193"/>
    </row>
    <row r="98" spans="1:16" ht="13.5" thickBot="1" x14ac:dyDescent="0.25">
      <c r="A98" s="295">
        <v>224027</v>
      </c>
      <c r="B98" s="295">
        <v>227915</v>
      </c>
      <c r="D98" s="296">
        <v>0.36499999999999999</v>
      </c>
      <c r="E98" s="129"/>
      <c r="F98" s="221">
        <f t="shared" ref="F98:F101" si="4">IF($D$19&gt;=$F$28,($F$28*(100%-D98))+($F$19),$D$19*(100%-D98)+$F$19)</f>
        <v>0</v>
      </c>
      <c r="G98" s="220"/>
      <c r="H98" s="221">
        <f t="shared" ref="H98:H101" si="5">IF($D$20&gt;=$H$28,($H$28*(100%-D98))+($F$20),$D$20*(100%-D98)+($F$20))</f>
        <v>6.3372999999999999</v>
      </c>
      <c r="J98" s="296">
        <v>0.70399999999999996</v>
      </c>
      <c r="K98" s="130"/>
      <c r="L98" s="223">
        <f t="shared" ref="L98:L101" si="6">IF($D$19&gt;=$L$28,($L$28*(100%-J98))+(F$19),$D$19*(100%-J98)+$F$19)</f>
        <v>0</v>
      </c>
      <c r="M98" s="222"/>
      <c r="N98" s="223">
        <f t="shared" ref="N98:N101" si="7">IF($D$20&gt;=$H$28,($H$28*(100%-J98))+($F$20),$D$20*(100%-J98)+($F$20))</f>
        <v>2.9540800000000007</v>
      </c>
      <c r="P98" s="193"/>
    </row>
    <row r="99" spans="1:16" ht="13.5" thickBot="1" x14ac:dyDescent="0.25">
      <c r="A99" s="295">
        <v>227916</v>
      </c>
      <c r="B99" s="295">
        <v>231807</v>
      </c>
      <c r="D99" s="296">
        <v>0.36499999999999999</v>
      </c>
      <c r="E99" s="129"/>
      <c r="F99" s="221">
        <f t="shared" si="4"/>
        <v>0</v>
      </c>
      <c r="G99" s="220"/>
      <c r="H99" s="221">
        <f t="shared" si="5"/>
        <v>6.3372999999999999</v>
      </c>
      <c r="J99" s="296">
        <v>0.69599999999999995</v>
      </c>
      <c r="K99" s="130"/>
      <c r="L99" s="223">
        <f t="shared" si="6"/>
        <v>0</v>
      </c>
      <c r="M99" s="222"/>
      <c r="N99" s="223">
        <f t="shared" si="7"/>
        <v>3.0339200000000006</v>
      </c>
      <c r="P99" s="193"/>
    </row>
    <row r="100" spans="1:16" ht="13.5" thickBot="1" x14ac:dyDescent="0.25">
      <c r="A100" s="295">
        <v>231808</v>
      </c>
      <c r="B100" s="295">
        <v>235697</v>
      </c>
      <c r="D100" s="296">
        <v>0.36499999999999999</v>
      </c>
      <c r="E100" s="129"/>
      <c r="F100" s="221">
        <f t="shared" si="4"/>
        <v>0</v>
      </c>
      <c r="G100" s="220"/>
      <c r="H100" s="221">
        <f t="shared" si="5"/>
        <v>6.3372999999999999</v>
      </c>
      <c r="J100" s="296">
        <v>0.69099999999999995</v>
      </c>
      <c r="K100" s="130"/>
      <c r="L100" s="223">
        <f t="shared" si="6"/>
        <v>0</v>
      </c>
      <c r="M100" s="222"/>
      <c r="N100" s="223">
        <f t="shared" si="7"/>
        <v>3.0838200000000007</v>
      </c>
      <c r="P100" s="193"/>
    </row>
    <row r="101" spans="1:16" ht="13.5" thickBot="1" x14ac:dyDescent="0.25">
      <c r="A101" s="295">
        <v>235698</v>
      </c>
      <c r="B101" s="294" t="s">
        <v>58</v>
      </c>
      <c r="D101" s="296">
        <v>0.36499999999999999</v>
      </c>
      <c r="E101" s="129"/>
      <c r="F101" s="221">
        <f t="shared" si="4"/>
        <v>0</v>
      </c>
      <c r="G101" s="220"/>
      <c r="H101" s="221">
        <f t="shared" si="5"/>
        <v>6.3372999999999999</v>
      </c>
      <c r="J101" s="296">
        <v>0.68200000000000005</v>
      </c>
      <c r="K101" s="130"/>
      <c r="L101" s="223">
        <f t="shared" si="6"/>
        <v>0</v>
      </c>
      <c r="M101" s="222"/>
      <c r="N101" s="223">
        <f t="shared" si="7"/>
        <v>3.1736399999999998</v>
      </c>
      <c r="P101" s="193"/>
    </row>
    <row r="103" spans="1:16" x14ac:dyDescent="0.2">
      <c r="F103" s="69">
        <f>SUM(F33:F101)</f>
        <v>0</v>
      </c>
      <c r="H103" s="69">
        <f>SUM(H33:H101)</f>
        <v>222.42426</v>
      </c>
      <c r="J103" s="69"/>
      <c r="L103" s="69">
        <f>SUM(L33:L101)</f>
        <v>0</v>
      </c>
      <c r="N103" s="69">
        <f>SUM(N33:N101)</f>
        <v>86.816020000000023</v>
      </c>
    </row>
    <row r="104" spans="1:16" x14ac:dyDescent="0.2">
      <c r="A104" s="314">
        <f>+SUM(A33:B101)+SUM(D33:D101)+SUM(J33:J101)</f>
        <v>15483327.014</v>
      </c>
      <c r="B104" s="314"/>
    </row>
    <row r="105" spans="1:16" x14ac:dyDescent="0.2">
      <c r="A105" s="96"/>
    </row>
    <row r="106" spans="1:16" x14ac:dyDescent="0.2">
      <c r="A106" s="96"/>
    </row>
    <row r="110" spans="1:16" ht="15.75" x14ac:dyDescent="0.2">
      <c r="A110" s="125"/>
      <c r="B110" s="126"/>
      <c r="C110" s="124"/>
      <c r="D110" s="124"/>
    </row>
    <row r="111" spans="1:16" ht="15.75" x14ac:dyDescent="0.2">
      <c r="A111" s="126"/>
      <c r="B111" s="126"/>
      <c r="C111" s="124"/>
      <c r="D111" s="124"/>
    </row>
    <row r="112" spans="1:16" ht="15.75" x14ac:dyDescent="0.2">
      <c r="A112" s="126"/>
      <c r="B112" s="126"/>
      <c r="C112" s="124"/>
      <c r="D112" s="124"/>
    </row>
    <row r="113" spans="1:10" ht="15.75" x14ac:dyDescent="0.2">
      <c r="A113" s="126"/>
      <c r="B113" s="126"/>
      <c r="C113" s="124"/>
      <c r="D113" s="124"/>
    </row>
    <row r="114" spans="1:10" ht="15.75" x14ac:dyDescent="0.2">
      <c r="A114" s="126"/>
      <c r="B114" s="126"/>
      <c r="C114" s="124"/>
      <c r="D114" s="124"/>
    </row>
    <row r="115" spans="1:10" ht="15.75" x14ac:dyDescent="0.2">
      <c r="A115" s="126"/>
      <c r="B115" s="126"/>
      <c r="C115" s="124"/>
      <c r="D115" s="124"/>
      <c r="F115"/>
      <c r="H115"/>
      <c r="J115"/>
    </row>
    <row r="116" spans="1:10" ht="15.75" x14ac:dyDescent="0.2">
      <c r="A116" s="126"/>
      <c r="B116" s="126"/>
      <c r="C116" s="124"/>
      <c r="D116" s="124"/>
      <c r="F116"/>
      <c r="H116"/>
      <c r="J116"/>
    </row>
    <row r="117" spans="1:10" ht="15.75" x14ac:dyDescent="0.2">
      <c r="A117" s="126"/>
      <c r="B117" s="126"/>
      <c r="C117" s="124"/>
      <c r="D117" s="124"/>
      <c r="F117"/>
      <c r="H117"/>
      <c r="J117"/>
    </row>
    <row r="118" spans="1:10" ht="15.75" x14ac:dyDescent="0.2">
      <c r="A118" s="126"/>
      <c r="B118" s="126"/>
      <c r="C118" s="124"/>
      <c r="D118" s="124"/>
      <c r="F118"/>
      <c r="H118"/>
      <c r="J118"/>
    </row>
    <row r="119" spans="1:10" ht="15.75" x14ac:dyDescent="0.2">
      <c r="A119" s="126"/>
      <c r="B119" s="126"/>
      <c r="C119" s="124"/>
      <c r="D119" s="124"/>
      <c r="F119"/>
      <c r="H119"/>
      <c r="J119"/>
    </row>
    <row r="120" spans="1:10" ht="15.75" x14ac:dyDescent="0.2">
      <c r="A120" s="126"/>
      <c r="B120" s="126"/>
      <c r="C120" s="124"/>
      <c r="D120" s="124"/>
      <c r="F120"/>
      <c r="H120"/>
      <c r="J120"/>
    </row>
    <row r="121" spans="1:10" ht="15.75" x14ac:dyDescent="0.2">
      <c r="A121" s="126"/>
      <c r="B121" s="126"/>
      <c r="C121" s="124"/>
      <c r="D121" s="124"/>
      <c r="F121"/>
      <c r="H121"/>
      <c r="J121"/>
    </row>
    <row r="122" spans="1:10" ht="15.75" x14ac:dyDescent="0.2">
      <c r="A122" s="126"/>
      <c r="B122" s="126"/>
      <c r="C122" s="124"/>
      <c r="D122" s="124"/>
      <c r="F122"/>
      <c r="H122"/>
      <c r="J122"/>
    </row>
    <row r="123" spans="1:10" ht="15.75" x14ac:dyDescent="0.2">
      <c r="A123" s="126"/>
      <c r="B123" s="126"/>
      <c r="C123" s="124"/>
      <c r="D123" s="124"/>
      <c r="F123"/>
      <c r="H123"/>
      <c r="J123"/>
    </row>
    <row r="124" spans="1:10" ht="15.75" x14ac:dyDescent="0.2">
      <c r="A124" s="126"/>
      <c r="B124" s="126"/>
      <c r="C124" s="124"/>
      <c r="D124" s="124"/>
      <c r="F124"/>
      <c r="H124"/>
      <c r="J124"/>
    </row>
    <row r="125" spans="1:10" ht="15.75" x14ac:dyDescent="0.2">
      <c r="A125" s="126"/>
      <c r="B125" s="126"/>
      <c r="C125" s="124"/>
      <c r="D125" s="124"/>
      <c r="F125"/>
      <c r="H125"/>
      <c r="J125"/>
    </row>
    <row r="126" spans="1:10" ht="15.75" x14ac:dyDescent="0.2">
      <c r="A126" s="126"/>
      <c r="B126" s="126"/>
      <c r="C126" s="124"/>
      <c r="D126" s="124"/>
      <c r="F126"/>
      <c r="H126"/>
      <c r="J126"/>
    </row>
    <row r="127" spans="1:10" ht="15.75" x14ac:dyDescent="0.2">
      <c r="A127" s="126"/>
      <c r="B127" s="126"/>
      <c r="C127" s="124"/>
      <c r="D127" s="124"/>
      <c r="F127"/>
      <c r="H127"/>
      <c r="J127"/>
    </row>
    <row r="128" spans="1:10" ht="15.75" x14ac:dyDescent="0.2">
      <c r="A128" s="126"/>
      <c r="B128" s="126"/>
      <c r="C128" s="124"/>
      <c r="D128" s="124"/>
      <c r="F128"/>
      <c r="H128"/>
      <c r="J128"/>
    </row>
    <row r="129" spans="1:10" ht="15.75" x14ac:dyDescent="0.2">
      <c r="A129" s="126"/>
      <c r="B129" s="126"/>
      <c r="C129" s="124"/>
      <c r="D129" s="124"/>
      <c r="F129"/>
      <c r="H129"/>
      <c r="J129"/>
    </row>
    <row r="130" spans="1:10" ht="15.75" x14ac:dyDescent="0.2">
      <c r="A130" s="126"/>
      <c r="B130" s="126"/>
      <c r="C130" s="124"/>
      <c r="D130" s="124"/>
      <c r="F130"/>
      <c r="H130"/>
      <c r="J130"/>
    </row>
    <row r="131" spans="1:10" ht="15.75" x14ac:dyDescent="0.2">
      <c r="A131" s="126"/>
      <c r="B131" s="126"/>
      <c r="C131" s="124"/>
      <c r="D131" s="124"/>
      <c r="F131"/>
      <c r="H131"/>
      <c r="J131"/>
    </row>
    <row r="132" spans="1:10" ht="15.75" x14ac:dyDescent="0.2">
      <c r="A132" s="126"/>
      <c r="B132" s="126"/>
      <c r="C132" s="124"/>
      <c r="D132" s="124"/>
      <c r="F132"/>
      <c r="H132"/>
      <c r="J132"/>
    </row>
    <row r="133" spans="1:10" ht="15.75" x14ac:dyDescent="0.2">
      <c r="A133" s="126"/>
      <c r="B133" s="126"/>
      <c r="C133" s="124"/>
      <c r="D133" s="124"/>
      <c r="F133"/>
      <c r="H133"/>
      <c r="J133"/>
    </row>
    <row r="134" spans="1:10" ht="15.75" x14ac:dyDescent="0.2">
      <c r="A134" s="126"/>
      <c r="B134" s="126"/>
      <c r="C134" s="124"/>
      <c r="D134" s="124"/>
      <c r="F134"/>
      <c r="H134"/>
      <c r="J134"/>
    </row>
    <row r="135" spans="1:10" ht="15.75" x14ac:dyDescent="0.2">
      <c r="A135" s="126"/>
      <c r="B135" s="126"/>
      <c r="C135" s="124"/>
      <c r="D135" s="124"/>
      <c r="F135"/>
      <c r="H135"/>
      <c r="J135"/>
    </row>
    <row r="136" spans="1:10" ht="15.75" x14ac:dyDescent="0.2">
      <c r="A136" s="126"/>
      <c r="B136" s="126"/>
      <c r="C136" s="124"/>
      <c r="D136" s="124"/>
      <c r="F136"/>
      <c r="H136"/>
      <c r="J136"/>
    </row>
    <row r="137" spans="1:10" ht="15.75" x14ac:dyDescent="0.2">
      <c r="A137" s="126"/>
      <c r="B137" s="126"/>
      <c r="C137" s="124"/>
      <c r="D137" s="124"/>
      <c r="F137"/>
      <c r="H137"/>
      <c r="J137"/>
    </row>
    <row r="138" spans="1:10" ht="15.75" x14ac:dyDescent="0.2">
      <c r="A138" s="126"/>
      <c r="B138" s="126"/>
      <c r="C138" s="124"/>
      <c r="D138" s="124"/>
      <c r="F138"/>
      <c r="H138"/>
      <c r="J138"/>
    </row>
    <row r="139" spans="1:10" ht="15.75" x14ac:dyDescent="0.2">
      <c r="A139" s="126"/>
      <c r="B139" s="126"/>
      <c r="C139" s="124"/>
      <c r="D139" s="124"/>
      <c r="F139"/>
      <c r="H139"/>
      <c r="J139"/>
    </row>
    <row r="140" spans="1:10" ht="15.75" x14ac:dyDescent="0.2">
      <c r="A140" s="126"/>
      <c r="B140" s="126"/>
      <c r="C140" s="124"/>
      <c r="D140" s="124"/>
      <c r="F140"/>
      <c r="H140"/>
      <c r="J140"/>
    </row>
    <row r="141" spans="1:10" ht="15.75" x14ac:dyDescent="0.2">
      <c r="A141" s="126"/>
      <c r="B141" s="126"/>
      <c r="C141" s="124"/>
      <c r="D141" s="124"/>
      <c r="F141"/>
      <c r="H141"/>
      <c r="J141"/>
    </row>
    <row r="142" spans="1:10" ht="15.75" x14ac:dyDescent="0.2">
      <c r="A142" s="126"/>
      <c r="B142" s="126"/>
      <c r="C142" s="124"/>
      <c r="D142" s="124"/>
      <c r="F142"/>
      <c r="H142"/>
      <c r="J142"/>
    </row>
    <row r="143" spans="1:10" ht="15.75" x14ac:dyDescent="0.2">
      <c r="A143" s="126"/>
      <c r="B143" s="126"/>
      <c r="C143" s="124"/>
      <c r="D143" s="124"/>
      <c r="F143"/>
      <c r="H143"/>
      <c r="J143"/>
    </row>
    <row r="144" spans="1:10" ht="15.75" x14ac:dyDescent="0.2">
      <c r="A144" s="126"/>
      <c r="B144" s="126"/>
      <c r="C144" s="124"/>
      <c r="D144" s="124"/>
      <c r="F144"/>
      <c r="H144"/>
      <c r="J144"/>
    </row>
    <row r="145" spans="1:10" ht="15.75" x14ac:dyDescent="0.2">
      <c r="A145" s="126"/>
      <c r="B145" s="126"/>
      <c r="C145" s="124"/>
      <c r="D145" s="124"/>
      <c r="F145"/>
      <c r="H145"/>
      <c r="J145"/>
    </row>
    <row r="146" spans="1:10" ht="15.75" x14ac:dyDescent="0.2">
      <c r="A146" s="126"/>
      <c r="B146" s="126"/>
      <c r="C146" s="124"/>
      <c r="D146" s="124"/>
      <c r="F146"/>
      <c r="H146"/>
      <c r="J146"/>
    </row>
    <row r="147" spans="1:10" ht="15.75" x14ac:dyDescent="0.2">
      <c r="A147" s="126"/>
      <c r="B147" s="126"/>
      <c r="C147" s="124"/>
      <c r="D147" s="124"/>
      <c r="F147"/>
      <c r="H147"/>
      <c r="J147"/>
    </row>
    <row r="148" spans="1:10" ht="15.75" x14ac:dyDescent="0.2">
      <c r="A148" s="126"/>
      <c r="B148" s="126"/>
      <c r="C148" s="124"/>
      <c r="D148" s="124"/>
      <c r="F148"/>
      <c r="H148"/>
      <c r="J148"/>
    </row>
    <row r="149" spans="1:10" ht="15.75" x14ac:dyDescent="0.2">
      <c r="A149" s="126"/>
      <c r="B149" s="126"/>
      <c r="C149" s="124"/>
      <c r="D149" s="124"/>
      <c r="F149"/>
      <c r="H149"/>
      <c r="J149"/>
    </row>
    <row r="150" spans="1:10" ht="15.75" x14ac:dyDescent="0.2">
      <c r="A150" s="127"/>
      <c r="B150" s="128"/>
      <c r="C150" s="124"/>
      <c r="D150" s="124"/>
      <c r="F150"/>
      <c r="H150"/>
      <c r="J150"/>
    </row>
    <row r="151" spans="1:10" ht="15.75" x14ac:dyDescent="0.2">
      <c r="A151" s="128"/>
      <c r="B151" s="128"/>
      <c r="C151" s="124"/>
      <c r="D151" s="124"/>
      <c r="F151"/>
      <c r="H151"/>
      <c r="J151"/>
    </row>
    <row r="152" spans="1:10" ht="15.75" x14ac:dyDescent="0.2">
      <c r="A152" s="128"/>
      <c r="B152" s="128"/>
      <c r="C152" s="124"/>
      <c r="D152" s="124"/>
      <c r="F152"/>
      <c r="H152"/>
      <c r="J152"/>
    </row>
    <row r="153" spans="1:10" ht="15.75" x14ac:dyDescent="0.2">
      <c r="A153" s="128"/>
      <c r="B153" s="128"/>
      <c r="C153" s="124"/>
      <c r="D153" s="124"/>
      <c r="F153"/>
      <c r="H153"/>
      <c r="J153"/>
    </row>
    <row r="154" spans="1:10" ht="15.75" x14ac:dyDescent="0.2">
      <c r="A154" s="128"/>
      <c r="B154" s="128"/>
      <c r="C154" s="124"/>
      <c r="D154" s="124"/>
      <c r="F154"/>
      <c r="H154"/>
      <c r="J154"/>
    </row>
    <row r="155" spans="1:10" ht="15.75" x14ac:dyDescent="0.2">
      <c r="A155" s="128"/>
      <c r="B155" s="128"/>
      <c r="C155" s="124"/>
      <c r="D155" s="124"/>
      <c r="F155"/>
      <c r="H155"/>
      <c r="J155"/>
    </row>
    <row r="156" spans="1:10" ht="15.75" x14ac:dyDescent="0.2">
      <c r="A156" s="128"/>
      <c r="B156" s="128"/>
      <c r="C156" s="124"/>
      <c r="D156" s="124"/>
      <c r="F156"/>
      <c r="H156"/>
      <c r="J156"/>
    </row>
    <row r="157" spans="1:10" ht="15.75" x14ac:dyDescent="0.2">
      <c r="A157" s="128"/>
      <c r="B157" s="128"/>
      <c r="C157" s="124"/>
      <c r="D157" s="124"/>
      <c r="F157"/>
      <c r="H157"/>
      <c r="J157"/>
    </row>
    <row r="158" spans="1:10" ht="15.75" x14ac:dyDescent="0.2">
      <c r="A158" s="128"/>
      <c r="B158" s="128"/>
      <c r="C158" s="124"/>
      <c r="D158" s="124"/>
      <c r="F158"/>
      <c r="H158"/>
      <c r="J158"/>
    </row>
    <row r="159" spans="1:10" ht="15.75" x14ac:dyDescent="0.2">
      <c r="A159" s="128"/>
      <c r="B159" s="128"/>
      <c r="C159" s="124"/>
      <c r="D159" s="124"/>
      <c r="F159"/>
      <c r="H159"/>
      <c r="J159"/>
    </row>
    <row r="160" spans="1:10" ht="15.75" x14ac:dyDescent="0.2">
      <c r="A160" s="128"/>
      <c r="B160" s="128"/>
      <c r="C160" s="124"/>
      <c r="D160" s="124"/>
      <c r="F160"/>
      <c r="H160"/>
      <c r="J160"/>
    </row>
    <row r="161" spans="1:10" ht="15.75" x14ac:dyDescent="0.2">
      <c r="A161" s="128"/>
      <c r="B161" s="128"/>
      <c r="C161" s="124"/>
      <c r="D161" s="124"/>
      <c r="F161"/>
      <c r="H161"/>
      <c r="J161"/>
    </row>
    <row r="162" spans="1:10" ht="15.75" x14ac:dyDescent="0.2">
      <c r="A162" s="128"/>
      <c r="B162" s="128"/>
      <c r="C162" s="124"/>
      <c r="D162" s="124"/>
      <c r="F162"/>
      <c r="H162"/>
      <c r="J162"/>
    </row>
    <row r="163" spans="1:10" ht="15.75" x14ac:dyDescent="0.2">
      <c r="A163" s="128"/>
      <c r="B163" s="128"/>
      <c r="C163" s="124"/>
      <c r="D163" s="124"/>
      <c r="F163"/>
      <c r="H163"/>
      <c r="J163"/>
    </row>
    <row r="164" spans="1:10" ht="15.75" x14ac:dyDescent="0.2">
      <c r="A164" s="128"/>
      <c r="B164" s="128"/>
      <c r="C164" s="124"/>
      <c r="D164" s="124"/>
      <c r="F164"/>
      <c r="H164"/>
      <c r="J164"/>
    </row>
    <row r="165" spans="1:10" ht="15.75" x14ac:dyDescent="0.2">
      <c r="A165" s="128"/>
      <c r="B165" s="128"/>
      <c r="C165" s="124"/>
      <c r="D165" s="124"/>
      <c r="F165"/>
      <c r="H165"/>
      <c r="J165"/>
    </row>
    <row r="166" spans="1:10" ht="15.75" x14ac:dyDescent="0.2">
      <c r="A166" s="128"/>
      <c r="B166" s="128"/>
      <c r="C166" s="124"/>
      <c r="D166" s="124"/>
      <c r="F166"/>
      <c r="H166"/>
      <c r="J166"/>
    </row>
    <row r="167" spans="1:10" ht="15.75" x14ac:dyDescent="0.2">
      <c r="A167" s="128"/>
      <c r="B167" s="127"/>
      <c r="C167" s="124"/>
      <c r="D167" s="124"/>
      <c r="F167"/>
      <c r="H167"/>
      <c r="J167"/>
    </row>
    <row r="168" spans="1:10" ht="15.75" x14ac:dyDescent="0.2">
      <c r="A168" s="128"/>
      <c r="B168" s="128"/>
      <c r="C168" s="124"/>
      <c r="D168" s="124"/>
      <c r="F168"/>
      <c r="H168"/>
      <c r="J168"/>
    </row>
    <row r="169" spans="1:10" ht="15.75" x14ac:dyDescent="0.2">
      <c r="A169" s="128"/>
      <c r="B169" s="128"/>
      <c r="C169" s="124"/>
      <c r="D169" s="124"/>
      <c r="F169"/>
      <c r="H169"/>
      <c r="J169"/>
    </row>
    <row r="170" spans="1:10" ht="15.75" x14ac:dyDescent="0.2">
      <c r="A170" s="128"/>
      <c r="B170" s="128"/>
      <c r="C170" s="124"/>
      <c r="D170" s="124"/>
      <c r="F170"/>
      <c r="H170"/>
      <c r="J170"/>
    </row>
    <row r="171" spans="1:10" ht="15.75" x14ac:dyDescent="0.2">
      <c r="A171" s="128"/>
      <c r="B171" s="128"/>
      <c r="C171" s="124"/>
      <c r="D171" s="124"/>
      <c r="F171"/>
      <c r="H171"/>
      <c r="J171"/>
    </row>
    <row r="172" spans="1:10" ht="15.75" x14ac:dyDescent="0.2">
      <c r="A172" s="128"/>
      <c r="B172" s="128"/>
      <c r="C172" s="124"/>
      <c r="D172" s="124"/>
      <c r="F172"/>
      <c r="H172"/>
      <c r="J172"/>
    </row>
    <row r="173" spans="1:10" ht="15.75" x14ac:dyDescent="0.2">
      <c r="A173" s="128"/>
      <c r="B173" s="128"/>
      <c r="C173" s="124"/>
      <c r="D173" s="124"/>
      <c r="F173"/>
      <c r="H173"/>
      <c r="J173"/>
    </row>
    <row r="174" spans="1:10" ht="15.75" x14ac:dyDescent="0.2">
      <c r="A174" s="128"/>
      <c r="B174" s="128"/>
      <c r="C174" s="124"/>
      <c r="D174" s="124"/>
      <c r="F174"/>
      <c r="H174"/>
      <c r="J174"/>
    </row>
    <row r="175" spans="1:10" ht="15.75" x14ac:dyDescent="0.2">
      <c r="A175" s="128"/>
      <c r="B175" s="128"/>
      <c r="C175" s="124"/>
      <c r="D175" s="124"/>
      <c r="F175"/>
      <c r="H175"/>
      <c r="J175"/>
    </row>
    <row r="176" spans="1:10" ht="15.75" x14ac:dyDescent="0.2">
      <c r="A176" s="128"/>
      <c r="B176" s="128"/>
      <c r="C176" s="124"/>
      <c r="D176" s="124"/>
      <c r="F176"/>
      <c r="H176"/>
      <c r="J176"/>
    </row>
    <row r="177" spans="1:10" ht="15.75" x14ac:dyDescent="0.2">
      <c r="A177" s="128"/>
      <c r="B177" s="128"/>
      <c r="C177" s="124"/>
      <c r="D177" s="124"/>
      <c r="F177"/>
      <c r="H177"/>
      <c r="J177"/>
    </row>
    <row r="178" spans="1:10" ht="15.75" x14ac:dyDescent="0.2">
      <c r="A178" s="128"/>
      <c r="B178" s="125"/>
      <c r="C178" s="124"/>
      <c r="D178" s="124"/>
      <c r="F178"/>
      <c r="H178"/>
      <c r="J178"/>
    </row>
  </sheetData>
  <mergeCells count="4">
    <mergeCell ref="A24:B24"/>
    <mergeCell ref="D24:H24"/>
    <mergeCell ref="J24:N24"/>
    <mergeCell ref="A104:B10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8"/>
  <sheetViews>
    <sheetView topLeftCell="A4" workbookViewId="0">
      <pane ySplit="28" topLeftCell="A72" activePane="bottomLeft" state="frozen"/>
      <selection activeCell="A4" sqref="A4"/>
      <selection pane="bottomLeft" activeCell="H78" sqref="H78"/>
    </sheetView>
  </sheetViews>
  <sheetFormatPr defaultRowHeight="12.75" x14ac:dyDescent="0.2"/>
  <cols>
    <col min="1" max="2" width="12" style="67" customWidth="1"/>
    <col min="3" max="3" width="2.7109375" customWidth="1"/>
    <col min="4" max="4" width="12" style="68" customWidth="1"/>
    <col min="5" max="5" width="2.7109375" customWidth="1"/>
    <col min="6" max="6" width="12" style="69" customWidth="1"/>
    <col min="7" max="7" width="2.7109375" customWidth="1"/>
    <col min="8" max="8" width="12" style="69" customWidth="1"/>
    <col min="9" max="9" width="2.7109375" customWidth="1"/>
    <col min="10" max="10" width="12" style="68" customWidth="1"/>
    <col min="11" max="11" width="2.7109375" customWidth="1"/>
    <col min="12" max="12" width="12" customWidth="1"/>
    <col min="13" max="13" width="2.7109375" customWidth="1"/>
    <col min="14" max="14" width="12" customWidth="1"/>
  </cols>
  <sheetData>
    <row r="1" spans="1:2" customFormat="1" ht="7.5" customHeight="1" x14ac:dyDescent="0.25">
      <c r="A1" s="64" t="s">
        <v>24</v>
      </c>
    </row>
    <row r="2" spans="1:2" customFormat="1" ht="17.25" customHeight="1" x14ac:dyDescent="0.2">
      <c r="A2" t="s">
        <v>25</v>
      </c>
    </row>
    <row r="3" spans="1:2" customFormat="1" ht="15" customHeight="1" x14ac:dyDescent="0.2"/>
    <row r="4" spans="1:2" customFormat="1" x14ac:dyDescent="0.2"/>
    <row r="5" spans="1:2" customFormat="1" ht="14.25" x14ac:dyDescent="0.2">
      <c r="A5" s="65" t="s">
        <v>26</v>
      </c>
    </row>
    <row r="6" spans="1:2" customFormat="1" x14ac:dyDescent="0.2"/>
    <row r="7" spans="1:2" customFormat="1" ht="15" x14ac:dyDescent="0.2">
      <c r="A7" s="66" t="s">
        <v>27</v>
      </c>
      <c r="B7" t="s">
        <v>28</v>
      </c>
    </row>
    <row r="8" spans="1:2" customFormat="1" ht="15" x14ac:dyDescent="0.2">
      <c r="A8" s="66" t="s">
        <v>29</v>
      </c>
      <c r="B8" t="s">
        <v>30</v>
      </c>
    </row>
    <row r="9" spans="1:2" customFormat="1" ht="15" x14ac:dyDescent="0.2">
      <c r="A9" s="66"/>
      <c r="B9" t="s">
        <v>31</v>
      </c>
    </row>
    <row r="10" spans="1:2" customFormat="1" ht="15" x14ac:dyDescent="0.2">
      <c r="A10" s="66"/>
      <c r="B10" t="s">
        <v>32</v>
      </c>
    </row>
    <row r="11" spans="1:2" customFormat="1" ht="15" x14ac:dyDescent="0.2">
      <c r="A11" s="66"/>
      <c r="B11" t="s">
        <v>131</v>
      </c>
    </row>
    <row r="12" spans="1:2" customFormat="1" ht="15" x14ac:dyDescent="0.2">
      <c r="A12" s="66" t="s">
        <v>33</v>
      </c>
      <c r="B12" t="s">
        <v>34</v>
      </c>
    </row>
    <row r="13" spans="1:2" customFormat="1" x14ac:dyDescent="0.2">
      <c r="B13" t="s">
        <v>31</v>
      </c>
    </row>
    <row r="14" spans="1:2" customFormat="1" x14ac:dyDescent="0.2">
      <c r="B14" t="s">
        <v>32</v>
      </c>
    </row>
    <row r="15" spans="1:2" customFormat="1" x14ac:dyDescent="0.2">
      <c r="B15" t="s">
        <v>131</v>
      </c>
    </row>
    <row r="16" spans="1:2" customFormat="1" x14ac:dyDescent="0.2"/>
    <row r="17" spans="1:14" x14ac:dyDescent="0.2">
      <c r="A17"/>
      <c r="B17"/>
      <c r="D17"/>
      <c r="F17"/>
      <c r="H17"/>
      <c r="J17"/>
    </row>
    <row r="18" spans="1:14" x14ac:dyDescent="0.2">
      <c r="F18" s="69" t="s">
        <v>35</v>
      </c>
      <c r="J18" s="70"/>
    </row>
    <row r="19" spans="1:14" x14ac:dyDescent="0.2">
      <c r="A19" s="69" t="s">
        <v>36</v>
      </c>
      <c r="D19" s="69">
        <f>'Tabel 2026 52 weken'!D$19</f>
        <v>11.23</v>
      </c>
      <c r="F19" s="178">
        <f>IF(F28-D19&gt;0,F28-D19,0)</f>
        <v>0</v>
      </c>
      <c r="L19" s="71"/>
      <c r="N19" s="69"/>
    </row>
    <row r="20" spans="1:14" x14ac:dyDescent="0.2">
      <c r="A20" s="69" t="s">
        <v>37</v>
      </c>
      <c r="D20" s="69">
        <f>'Tabel 2026 52 weken'!$D$20</f>
        <v>9.98</v>
      </c>
      <c r="F20" s="178">
        <f>IF(H28-D20&gt;0,H28-D20,0)</f>
        <v>0.74000000000000021</v>
      </c>
      <c r="J20" s="70"/>
      <c r="N20" s="69"/>
    </row>
    <row r="21" spans="1:14" x14ac:dyDescent="0.2">
      <c r="A21" s="69"/>
      <c r="D21" s="69"/>
      <c r="N21" s="69"/>
    </row>
    <row r="22" spans="1:14" x14ac:dyDescent="0.2">
      <c r="A22" s="69"/>
      <c r="D22" s="69"/>
      <c r="N22" s="69"/>
    </row>
    <row r="23" spans="1:14" x14ac:dyDescent="0.2">
      <c r="A23" s="69"/>
      <c r="D23" s="69"/>
      <c r="G23" s="69"/>
      <c r="N23" s="69"/>
    </row>
    <row r="24" spans="1:14" ht="15" x14ac:dyDescent="0.2">
      <c r="A24" s="315" t="s">
        <v>38</v>
      </c>
      <c r="B24" s="315"/>
      <c r="D24" s="312" t="s">
        <v>39</v>
      </c>
      <c r="E24" s="312"/>
      <c r="F24" s="312"/>
      <c r="G24" s="312"/>
      <c r="H24" s="312"/>
      <c r="I24" s="72"/>
      <c r="J24" s="313" t="s">
        <v>40</v>
      </c>
      <c r="K24" s="313"/>
      <c r="L24" s="313"/>
      <c r="M24" s="313"/>
      <c r="N24" s="313"/>
    </row>
    <row r="25" spans="1:14" x14ac:dyDescent="0.2">
      <c r="A25" s="73" t="s">
        <v>41</v>
      </c>
      <c r="B25" s="73"/>
      <c r="D25" s="179" t="s">
        <v>42</v>
      </c>
      <c r="E25" s="74"/>
      <c r="F25" s="75"/>
      <c r="G25" s="74"/>
      <c r="H25" s="75"/>
      <c r="J25" s="180" t="s">
        <v>42</v>
      </c>
      <c r="K25" s="76"/>
      <c r="L25" s="76"/>
      <c r="M25" s="76"/>
      <c r="N25" s="76"/>
    </row>
    <row r="26" spans="1:14" x14ac:dyDescent="0.2">
      <c r="A26" s="73" t="s">
        <v>43</v>
      </c>
      <c r="B26" s="73"/>
      <c r="D26" s="179" t="s">
        <v>44</v>
      </c>
      <c r="E26" s="74"/>
      <c r="F26" s="77" t="s">
        <v>45</v>
      </c>
      <c r="G26" s="78"/>
      <c r="H26" s="77" t="s">
        <v>46</v>
      </c>
      <c r="J26" s="180" t="s">
        <v>44</v>
      </c>
      <c r="K26" s="76"/>
      <c r="L26" s="79" t="s">
        <v>47</v>
      </c>
      <c r="M26" s="76"/>
      <c r="N26" s="79" t="s">
        <v>48</v>
      </c>
    </row>
    <row r="27" spans="1:14" x14ac:dyDescent="0.2">
      <c r="A27" s="73"/>
      <c r="B27" s="73"/>
      <c r="D27" s="80"/>
      <c r="E27" s="74"/>
      <c r="F27" s="81" t="s">
        <v>50</v>
      </c>
      <c r="G27" s="82"/>
      <c r="H27" s="81" t="s">
        <v>51</v>
      </c>
      <c r="J27" s="83"/>
      <c r="K27" s="76"/>
      <c r="L27" s="84" t="s">
        <v>50</v>
      </c>
      <c r="M27" s="85"/>
      <c r="N27" s="84" t="s">
        <v>51</v>
      </c>
    </row>
    <row r="28" spans="1:14" x14ac:dyDescent="0.2">
      <c r="A28" s="73"/>
      <c r="B28" s="73"/>
      <c r="D28" s="80"/>
      <c r="E28" s="74"/>
      <c r="F28" s="75">
        <v>0</v>
      </c>
      <c r="G28" s="82"/>
      <c r="H28" s="177">
        <v>10.72</v>
      </c>
      <c r="J28" s="83"/>
      <c r="K28" s="76"/>
      <c r="L28" s="86">
        <f>F28</f>
        <v>0</v>
      </c>
      <c r="M28" s="76"/>
      <c r="N28" s="86">
        <f>H28</f>
        <v>10.72</v>
      </c>
    </row>
    <row r="29" spans="1:14" ht="13.5" thickBot="1" x14ac:dyDescent="0.25">
      <c r="A29" s="73"/>
      <c r="B29" s="73"/>
      <c r="D29" s="80"/>
      <c r="E29" s="74"/>
      <c r="F29" s="75"/>
      <c r="G29" s="74"/>
      <c r="H29" s="75"/>
      <c r="J29" s="83"/>
      <c r="K29" s="76"/>
      <c r="L29" s="76"/>
      <c r="M29" s="76"/>
      <c r="N29" s="76"/>
    </row>
    <row r="30" spans="1:14" x14ac:dyDescent="0.2">
      <c r="A30" s="87" t="s">
        <v>2</v>
      </c>
      <c r="B30" s="87" t="s">
        <v>3</v>
      </c>
      <c r="D30" s="181" t="s">
        <v>52</v>
      </c>
      <c r="E30" s="74"/>
      <c r="F30" s="88" t="s">
        <v>53</v>
      </c>
      <c r="G30" s="74"/>
      <c r="H30" s="88" t="s">
        <v>53</v>
      </c>
      <c r="J30" s="182" t="s">
        <v>54</v>
      </c>
      <c r="K30" s="76"/>
      <c r="L30" s="89" t="s">
        <v>53</v>
      </c>
      <c r="M30" s="76"/>
      <c r="N30" s="89" t="s">
        <v>53</v>
      </c>
    </row>
    <row r="31" spans="1:14" ht="13.5" thickBot="1" x14ac:dyDescent="0.25">
      <c r="A31" s="90"/>
      <c r="B31" s="90"/>
      <c r="D31" s="183" t="s">
        <v>55</v>
      </c>
      <c r="E31" s="74"/>
      <c r="F31" s="91" t="s">
        <v>56</v>
      </c>
      <c r="G31" s="74"/>
      <c r="H31" s="91" t="s">
        <v>56</v>
      </c>
      <c r="J31" s="184" t="s">
        <v>57</v>
      </c>
      <c r="K31" s="76"/>
      <c r="L31" s="92" t="s">
        <v>56</v>
      </c>
      <c r="M31" s="76"/>
      <c r="N31" s="92" t="s">
        <v>56</v>
      </c>
    </row>
    <row r="32" spans="1:14" x14ac:dyDescent="0.2">
      <c r="A32" s="73"/>
      <c r="B32" s="73"/>
      <c r="D32" s="80"/>
      <c r="E32" s="74"/>
      <c r="F32" s="75"/>
      <c r="G32" s="74"/>
      <c r="H32" s="75"/>
      <c r="J32" s="83"/>
      <c r="K32" s="76"/>
      <c r="L32" s="76"/>
      <c r="M32" s="76"/>
      <c r="N32" s="76"/>
    </row>
    <row r="33" spans="1:23" ht="15" x14ac:dyDescent="0.2">
      <c r="A33" s="297" t="str">
        <f>+'Tabel 2026 52 weken'!A33</f>
        <v>lager dan</v>
      </c>
      <c r="B33" s="297">
        <f>+'Tabel 2026 52 weken'!B33</f>
        <v>24149</v>
      </c>
      <c r="D33" s="298">
        <f>+'Tabel 2026 52 weken'!D33</f>
        <v>0.96</v>
      </c>
      <c r="E33" s="129"/>
      <c r="F33" s="221">
        <f>IF($D$19&gt;=$F$28,($F$28*(100%-D33))+($F$19),$D$19*(100%-D33)+$F$19)</f>
        <v>0</v>
      </c>
      <c r="G33" s="220"/>
      <c r="H33" s="221">
        <f>IF($D$20&gt;=$H$28,($H$28*(100%-D33))+($F$20),$D$20*(100%-D33)+($F$20))</f>
        <v>1.1392000000000007</v>
      </c>
      <c r="J33" s="298">
        <f>+'Tabel 2026 52 weken'!J33</f>
        <v>0.96</v>
      </c>
      <c r="K33" s="130"/>
      <c r="L33" s="223">
        <f>IF($D$19&gt;=$L$28,($L$28*(100%-J33))+(F$19),$D$19*(100%-J33)+$F$19)</f>
        <v>0</v>
      </c>
      <c r="M33" s="222"/>
      <c r="N33" s="223">
        <f>IF($D$20&gt;=$H$28,($H$28*(100%-J33))+($F$20),$D$20*(100%-J33)+($F$20))</f>
        <v>1.1392000000000007</v>
      </c>
      <c r="P33" s="185"/>
    </row>
    <row r="34" spans="1:23" ht="15" x14ac:dyDescent="0.2">
      <c r="A34" s="297">
        <f>+'Tabel 2026 52 weken'!A34</f>
        <v>24150</v>
      </c>
      <c r="B34" s="297">
        <f>+'Tabel 2026 52 weken'!B34</f>
        <v>25756</v>
      </c>
      <c r="D34" s="298">
        <f>+'Tabel 2026 52 weken'!D34</f>
        <v>0.96</v>
      </c>
      <c r="E34" s="129"/>
      <c r="F34" s="221">
        <f t="shared" ref="F34:F97" si="0">IF($D$19&gt;=$F$28,($F$28*(100%-D34))+($F$19),$D$19*(100%-D34)+$F$19)</f>
        <v>0</v>
      </c>
      <c r="G34" s="220"/>
      <c r="H34" s="221">
        <f t="shared" ref="H34:H97" si="1">IF($D$20&gt;=$H$28,($H$28*(100%-D34))+($F$20),$D$20*(100%-D34)+($F$20))</f>
        <v>1.1392000000000007</v>
      </c>
      <c r="J34" s="298">
        <f>+'Tabel 2026 52 weken'!J34</f>
        <v>0.96</v>
      </c>
      <c r="K34" s="130"/>
      <c r="L34" s="223">
        <f t="shared" ref="L34:L97" si="2">IF($D$19&gt;=$L$28,($L$28*(100%-J34))+(F$19),$D$19*(100%-J34)+$F$19)</f>
        <v>0</v>
      </c>
      <c r="M34" s="222"/>
      <c r="N34" s="223">
        <f t="shared" ref="N34:N97" si="3">IF($D$20&gt;=$H$28,($H$28*(100%-J34))+($F$20),$D$20*(100%-J34)+($F$20))</f>
        <v>1.1392000000000007</v>
      </c>
    </row>
    <row r="35" spans="1:23" ht="15" x14ac:dyDescent="0.2">
      <c r="A35" s="297">
        <f>+'Tabel 2026 52 weken'!A35</f>
        <v>25757</v>
      </c>
      <c r="B35" s="297">
        <f>+'Tabel 2026 52 weken'!B35</f>
        <v>27363</v>
      </c>
      <c r="D35" s="298">
        <f>+'Tabel 2026 52 weken'!D35</f>
        <v>0.96</v>
      </c>
      <c r="E35" s="129"/>
      <c r="F35" s="221">
        <f t="shared" si="0"/>
        <v>0</v>
      </c>
      <c r="G35" s="220"/>
      <c r="H35" s="221">
        <f t="shared" si="1"/>
        <v>1.1392000000000007</v>
      </c>
      <c r="J35" s="298">
        <f>+'Tabel 2026 52 weken'!J35</f>
        <v>0.96</v>
      </c>
      <c r="K35" s="130"/>
      <c r="L35" s="223">
        <f t="shared" si="2"/>
        <v>0</v>
      </c>
      <c r="M35" s="222"/>
      <c r="N35" s="223">
        <f t="shared" si="3"/>
        <v>1.1392000000000007</v>
      </c>
      <c r="R35" s="93"/>
    </row>
    <row r="36" spans="1:23" ht="15" x14ac:dyDescent="0.2">
      <c r="A36" s="297">
        <f>+'Tabel 2026 52 weken'!A36</f>
        <v>27364</v>
      </c>
      <c r="B36" s="297">
        <f>+'Tabel 2026 52 weken'!B36</f>
        <v>28973</v>
      </c>
      <c r="D36" s="298">
        <f>+'Tabel 2026 52 weken'!D36</f>
        <v>0.96</v>
      </c>
      <c r="E36" s="129"/>
      <c r="F36" s="221">
        <f t="shared" si="0"/>
        <v>0</v>
      </c>
      <c r="G36" s="220"/>
      <c r="H36" s="221">
        <f t="shared" si="1"/>
        <v>1.1392000000000007</v>
      </c>
      <c r="J36" s="298">
        <f>+'Tabel 2026 52 weken'!J36</f>
        <v>0.96</v>
      </c>
      <c r="K36" s="130"/>
      <c r="L36" s="223">
        <f t="shared" si="2"/>
        <v>0</v>
      </c>
      <c r="M36" s="222"/>
      <c r="N36" s="223">
        <f t="shared" si="3"/>
        <v>1.1392000000000007</v>
      </c>
    </row>
    <row r="37" spans="1:23" ht="15" x14ac:dyDescent="0.2">
      <c r="A37" s="297">
        <f>+'Tabel 2026 52 weken'!A37</f>
        <v>28974</v>
      </c>
      <c r="B37" s="297">
        <f>+'Tabel 2026 52 weken'!B37</f>
        <v>30579</v>
      </c>
      <c r="D37" s="298">
        <f>+'Tabel 2026 52 weken'!D37</f>
        <v>0.96</v>
      </c>
      <c r="E37" s="129"/>
      <c r="F37" s="221">
        <f t="shared" si="0"/>
        <v>0</v>
      </c>
      <c r="G37" s="220"/>
      <c r="H37" s="221">
        <f t="shared" si="1"/>
        <v>1.1392000000000007</v>
      </c>
      <c r="J37" s="298">
        <f>+'Tabel 2026 52 weken'!J37</f>
        <v>0.96</v>
      </c>
      <c r="K37" s="130"/>
      <c r="L37" s="223">
        <f t="shared" si="2"/>
        <v>0</v>
      </c>
      <c r="M37" s="222"/>
      <c r="N37" s="223">
        <f t="shared" si="3"/>
        <v>1.1392000000000007</v>
      </c>
    </row>
    <row r="38" spans="1:23" ht="15" x14ac:dyDescent="0.2">
      <c r="A38" s="297">
        <f>+'Tabel 2026 52 weken'!A38</f>
        <v>30580</v>
      </c>
      <c r="B38" s="297">
        <f>+'Tabel 2026 52 weken'!B38</f>
        <v>32189</v>
      </c>
      <c r="D38" s="298">
        <f>+'Tabel 2026 52 weken'!D38</f>
        <v>0.96</v>
      </c>
      <c r="E38" s="129"/>
      <c r="F38" s="221">
        <f t="shared" si="0"/>
        <v>0</v>
      </c>
      <c r="G38" s="220"/>
      <c r="H38" s="221">
        <f t="shared" si="1"/>
        <v>1.1392000000000007</v>
      </c>
      <c r="J38" s="298">
        <f>+'Tabel 2026 52 weken'!J38</f>
        <v>0.96</v>
      </c>
      <c r="K38" s="130"/>
      <c r="L38" s="223">
        <f t="shared" si="2"/>
        <v>0</v>
      </c>
      <c r="M38" s="222"/>
      <c r="N38" s="223">
        <f t="shared" si="3"/>
        <v>1.1392000000000007</v>
      </c>
    </row>
    <row r="39" spans="1:23" ht="15" x14ac:dyDescent="0.2">
      <c r="A39" s="297">
        <f>+'Tabel 2026 52 weken'!A39</f>
        <v>32190</v>
      </c>
      <c r="B39" s="297">
        <f>+'Tabel 2026 52 weken'!B39</f>
        <v>33795</v>
      </c>
      <c r="D39" s="298">
        <f>+'Tabel 2026 52 weken'!D39</f>
        <v>0.96</v>
      </c>
      <c r="E39" s="129"/>
      <c r="F39" s="221">
        <f t="shared" si="0"/>
        <v>0</v>
      </c>
      <c r="G39" s="220"/>
      <c r="H39" s="221">
        <f t="shared" si="1"/>
        <v>1.1392000000000007</v>
      </c>
      <c r="J39" s="298">
        <f>+'Tabel 2026 52 weken'!J39</f>
        <v>0.96</v>
      </c>
      <c r="K39" s="130"/>
      <c r="L39" s="223">
        <f t="shared" si="2"/>
        <v>0</v>
      </c>
      <c r="M39" s="222"/>
      <c r="N39" s="223">
        <f t="shared" si="3"/>
        <v>1.1392000000000007</v>
      </c>
    </row>
    <row r="40" spans="1:23" ht="15" x14ac:dyDescent="0.2">
      <c r="A40" s="297">
        <f>+'Tabel 2026 52 weken'!A40</f>
        <v>33796</v>
      </c>
      <c r="B40" s="297">
        <f>+'Tabel 2026 52 weken'!B40</f>
        <v>35400</v>
      </c>
      <c r="D40" s="298">
        <f>+'Tabel 2026 52 weken'!D40</f>
        <v>0.96</v>
      </c>
      <c r="E40" s="129"/>
      <c r="F40" s="221">
        <f t="shared" si="0"/>
        <v>0</v>
      </c>
      <c r="G40" s="220"/>
      <c r="H40" s="221">
        <f t="shared" si="1"/>
        <v>1.1392000000000007</v>
      </c>
      <c r="J40" s="298">
        <f>+'Tabel 2026 52 weken'!J40</f>
        <v>0.96</v>
      </c>
      <c r="K40" s="130"/>
      <c r="L40" s="223">
        <f t="shared" si="2"/>
        <v>0</v>
      </c>
      <c r="M40" s="222"/>
      <c r="N40" s="223">
        <f t="shared" si="3"/>
        <v>1.1392000000000007</v>
      </c>
    </row>
    <row r="41" spans="1:23" ht="15" x14ac:dyDescent="0.2">
      <c r="A41" s="297">
        <f>+'Tabel 2026 52 weken'!A41</f>
        <v>35401</v>
      </c>
      <c r="B41" s="297">
        <f>+'Tabel 2026 52 weken'!B41</f>
        <v>37129</v>
      </c>
      <c r="D41" s="298">
        <f>+'Tabel 2026 52 weken'!D41</f>
        <v>0.96</v>
      </c>
      <c r="E41" s="129"/>
      <c r="F41" s="221">
        <f t="shared" si="0"/>
        <v>0</v>
      </c>
      <c r="G41" s="220"/>
      <c r="H41" s="221">
        <f t="shared" si="1"/>
        <v>1.1392000000000007</v>
      </c>
      <c r="J41" s="298">
        <f>+'Tabel 2026 52 weken'!J41</f>
        <v>0.96</v>
      </c>
      <c r="K41" s="130"/>
      <c r="L41" s="223">
        <f t="shared" si="2"/>
        <v>0</v>
      </c>
      <c r="M41" s="222"/>
      <c r="N41" s="223">
        <f t="shared" si="3"/>
        <v>1.1392000000000007</v>
      </c>
    </row>
    <row r="42" spans="1:23" ht="15" x14ac:dyDescent="0.2">
      <c r="A42" s="297">
        <f>+'Tabel 2026 52 weken'!A42</f>
        <v>37130</v>
      </c>
      <c r="B42" s="297">
        <f>+'Tabel 2026 52 weken'!B42</f>
        <v>38855</v>
      </c>
      <c r="D42" s="298">
        <f>+'Tabel 2026 52 weken'!D42</f>
        <v>0.96</v>
      </c>
      <c r="E42" s="129"/>
      <c r="F42" s="221">
        <f t="shared" si="0"/>
        <v>0</v>
      </c>
      <c r="G42" s="220"/>
      <c r="H42" s="221">
        <f t="shared" si="1"/>
        <v>1.1392000000000007</v>
      </c>
      <c r="J42" s="298">
        <f>+'Tabel 2026 52 weken'!J42</f>
        <v>0.96</v>
      </c>
      <c r="K42" s="130"/>
      <c r="L42" s="223">
        <f t="shared" si="2"/>
        <v>0</v>
      </c>
      <c r="M42" s="222"/>
      <c r="N42" s="223">
        <f t="shared" si="3"/>
        <v>1.1392000000000007</v>
      </c>
    </row>
    <row r="43" spans="1:23" ht="15" x14ac:dyDescent="0.2">
      <c r="A43" s="297">
        <f>+'Tabel 2026 52 weken'!A43</f>
        <v>38856</v>
      </c>
      <c r="B43" s="297">
        <f>+'Tabel 2026 52 weken'!B43</f>
        <v>40586</v>
      </c>
      <c r="D43" s="298">
        <f>+'Tabel 2026 52 weken'!D43</f>
        <v>0.96</v>
      </c>
      <c r="E43" s="129"/>
      <c r="F43" s="221">
        <f t="shared" si="0"/>
        <v>0</v>
      </c>
      <c r="G43" s="220"/>
      <c r="H43" s="221">
        <f t="shared" si="1"/>
        <v>1.1392000000000007</v>
      </c>
      <c r="J43" s="298">
        <f>+'Tabel 2026 52 weken'!J43</f>
        <v>0.96</v>
      </c>
      <c r="K43" s="130"/>
      <c r="L43" s="223">
        <f t="shared" si="2"/>
        <v>0</v>
      </c>
      <c r="M43" s="222"/>
      <c r="N43" s="223">
        <f t="shared" si="3"/>
        <v>1.1392000000000007</v>
      </c>
    </row>
    <row r="44" spans="1:23" ht="15" x14ac:dyDescent="0.2">
      <c r="A44" s="297">
        <f>+'Tabel 2026 52 weken'!A44</f>
        <v>40587</v>
      </c>
      <c r="B44" s="297">
        <f>+'Tabel 2026 52 weken'!B44</f>
        <v>42313</v>
      </c>
      <c r="D44" s="298">
        <f>+'Tabel 2026 52 weken'!D44</f>
        <v>0.96</v>
      </c>
      <c r="E44" s="129"/>
      <c r="F44" s="221">
        <f t="shared" si="0"/>
        <v>0</v>
      </c>
      <c r="G44" s="220"/>
      <c r="H44" s="221">
        <f t="shared" si="1"/>
        <v>1.1392000000000007</v>
      </c>
      <c r="J44" s="298">
        <f>+'Tabel 2026 52 weken'!J44</f>
        <v>0.96</v>
      </c>
      <c r="K44" s="130"/>
      <c r="L44" s="223">
        <f t="shared" si="2"/>
        <v>0</v>
      </c>
      <c r="M44" s="222"/>
      <c r="N44" s="223">
        <f t="shared" si="3"/>
        <v>1.1392000000000007</v>
      </c>
    </row>
    <row r="45" spans="1:23" ht="15" x14ac:dyDescent="0.2">
      <c r="A45" s="297">
        <f>+'Tabel 2026 52 weken'!A45</f>
        <v>42314</v>
      </c>
      <c r="B45" s="297">
        <f>+'Tabel 2026 52 weken'!B45</f>
        <v>44046</v>
      </c>
      <c r="D45" s="298">
        <f>+'Tabel 2026 52 weken'!D45</f>
        <v>0.96</v>
      </c>
      <c r="E45" s="129"/>
      <c r="F45" s="221">
        <f t="shared" si="0"/>
        <v>0</v>
      </c>
      <c r="G45" s="220"/>
      <c r="H45" s="221">
        <f t="shared" si="1"/>
        <v>1.1392000000000007</v>
      </c>
      <c r="J45" s="298">
        <f>+'Tabel 2026 52 weken'!J45</f>
        <v>0.96</v>
      </c>
      <c r="K45" s="130"/>
      <c r="L45" s="223">
        <f t="shared" si="2"/>
        <v>0</v>
      </c>
      <c r="M45" s="222"/>
      <c r="N45" s="223">
        <f t="shared" si="3"/>
        <v>1.1392000000000007</v>
      </c>
    </row>
    <row r="46" spans="1:23" ht="15" x14ac:dyDescent="0.2">
      <c r="A46" s="297">
        <f>+'Tabel 2026 52 weken'!A46</f>
        <v>44047</v>
      </c>
      <c r="B46" s="297">
        <f>+'Tabel 2026 52 weken'!B46</f>
        <v>45776</v>
      </c>
      <c r="D46" s="298">
        <f>+'Tabel 2026 52 weken'!D46</f>
        <v>0.96</v>
      </c>
      <c r="E46" s="129"/>
      <c r="F46" s="221">
        <f t="shared" si="0"/>
        <v>0</v>
      </c>
      <c r="G46" s="220"/>
      <c r="H46" s="221">
        <f t="shared" si="1"/>
        <v>1.1392000000000007</v>
      </c>
      <c r="J46" s="298">
        <f>+'Tabel 2026 52 weken'!J46</f>
        <v>0.96</v>
      </c>
      <c r="K46" s="130"/>
      <c r="L46" s="223">
        <f t="shared" si="2"/>
        <v>0</v>
      </c>
      <c r="M46" s="222"/>
      <c r="N46" s="223">
        <f t="shared" si="3"/>
        <v>1.1392000000000007</v>
      </c>
      <c r="V46" s="94"/>
      <c r="W46" s="186"/>
    </row>
    <row r="47" spans="1:23" ht="15" x14ac:dyDescent="0.2">
      <c r="A47" s="297">
        <f>+'Tabel 2026 52 weken'!A47</f>
        <v>45777</v>
      </c>
      <c r="B47" s="297">
        <f>+'Tabel 2026 52 weken'!B47</f>
        <v>47546</v>
      </c>
      <c r="D47" s="298">
        <f>+'Tabel 2026 52 weken'!D47</f>
        <v>0.96</v>
      </c>
      <c r="E47" s="129"/>
      <c r="F47" s="221">
        <f t="shared" si="0"/>
        <v>0</v>
      </c>
      <c r="G47" s="220"/>
      <c r="H47" s="221">
        <f t="shared" si="1"/>
        <v>1.1392000000000007</v>
      </c>
      <c r="J47" s="298">
        <f>+'Tabel 2026 52 weken'!J47</f>
        <v>0.96</v>
      </c>
      <c r="K47" s="130"/>
      <c r="L47" s="223">
        <f t="shared" si="2"/>
        <v>0</v>
      </c>
      <c r="M47" s="222"/>
      <c r="N47" s="223">
        <f t="shared" si="3"/>
        <v>1.1392000000000007</v>
      </c>
      <c r="V47" s="94"/>
    </row>
    <row r="48" spans="1:23" ht="15" x14ac:dyDescent="0.2">
      <c r="A48" s="297">
        <f>+'Tabel 2026 52 weken'!A48</f>
        <v>47547</v>
      </c>
      <c r="B48" s="297">
        <f>+'Tabel 2026 52 weken'!B48</f>
        <v>49318</v>
      </c>
      <c r="D48" s="298">
        <f>+'Tabel 2026 52 weken'!D48</f>
        <v>0.96</v>
      </c>
      <c r="E48" s="129"/>
      <c r="F48" s="221">
        <f t="shared" si="0"/>
        <v>0</v>
      </c>
      <c r="G48" s="220"/>
      <c r="H48" s="221">
        <f t="shared" si="1"/>
        <v>1.1392000000000007</v>
      </c>
      <c r="J48" s="298">
        <f>+'Tabel 2026 52 weken'!J48</f>
        <v>0.96</v>
      </c>
      <c r="K48" s="130"/>
      <c r="L48" s="223">
        <f t="shared" si="2"/>
        <v>0</v>
      </c>
      <c r="M48" s="222"/>
      <c r="N48" s="223">
        <f t="shared" si="3"/>
        <v>1.1392000000000007</v>
      </c>
      <c r="V48" s="94"/>
    </row>
    <row r="49" spans="1:16" ht="15" x14ac:dyDescent="0.2">
      <c r="A49" s="297">
        <f>+'Tabel 2026 52 weken'!A49</f>
        <v>49319</v>
      </c>
      <c r="B49" s="297">
        <f>+'Tabel 2026 52 weken'!B49</f>
        <v>51092</v>
      </c>
      <c r="D49" s="298">
        <f>+'Tabel 2026 52 weken'!D49</f>
        <v>0.96</v>
      </c>
      <c r="E49" s="129"/>
      <c r="F49" s="221">
        <f t="shared" si="0"/>
        <v>0</v>
      </c>
      <c r="G49" s="220"/>
      <c r="H49" s="221">
        <f t="shared" si="1"/>
        <v>1.1392000000000007</v>
      </c>
      <c r="J49" s="298">
        <f>+'Tabel 2026 52 weken'!J49</f>
        <v>0.96</v>
      </c>
      <c r="K49" s="130"/>
      <c r="L49" s="223">
        <f t="shared" si="2"/>
        <v>0</v>
      </c>
      <c r="M49" s="222"/>
      <c r="N49" s="223">
        <f t="shared" si="3"/>
        <v>1.1392000000000007</v>
      </c>
    </row>
    <row r="50" spans="1:16" ht="15" x14ac:dyDescent="0.2">
      <c r="A50" s="297">
        <f>+'Tabel 2026 52 weken'!A50</f>
        <v>51093</v>
      </c>
      <c r="B50" s="297">
        <f>+'Tabel 2026 52 weken'!B50</f>
        <v>52864</v>
      </c>
      <c r="D50" s="298">
        <f>+'Tabel 2026 52 weken'!D50</f>
        <v>0.96</v>
      </c>
      <c r="E50" s="129"/>
      <c r="F50" s="221">
        <f t="shared" si="0"/>
        <v>0</v>
      </c>
      <c r="G50" s="220"/>
      <c r="H50" s="221">
        <f t="shared" si="1"/>
        <v>1.1392000000000007</v>
      </c>
      <c r="J50" s="298">
        <f>+'Tabel 2026 52 weken'!J50</f>
        <v>0.96</v>
      </c>
      <c r="K50" s="130"/>
      <c r="L50" s="223">
        <f t="shared" si="2"/>
        <v>0</v>
      </c>
      <c r="M50" s="222"/>
      <c r="N50" s="223">
        <f t="shared" si="3"/>
        <v>1.1392000000000007</v>
      </c>
    </row>
    <row r="51" spans="1:16" ht="15" x14ac:dyDescent="0.2">
      <c r="A51" s="297">
        <f>+'Tabel 2026 52 weken'!A51</f>
        <v>52865</v>
      </c>
      <c r="B51" s="297">
        <f>+'Tabel 2026 52 weken'!B51</f>
        <v>54641</v>
      </c>
      <c r="D51" s="298">
        <f>+'Tabel 2026 52 weken'!D51</f>
        <v>0.96</v>
      </c>
      <c r="E51" s="129"/>
      <c r="F51" s="221">
        <f t="shared" si="0"/>
        <v>0</v>
      </c>
      <c r="G51" s="220"/>
      <c r="H51" s="221">
        <f t="shared" si="1"/>
        <v>1.1392000000000007</v>
      </c>
      <c r="J51" s="298">
        <f>+'Tabel 2026 52 weken'!J51</f>
        <v>0.96</v>
      </c>
      <c r="K51" s="130"/>
      <c r="L51" s="223">
        <f t="shared" si="2"/>
        <v>0</v>
      </c>
      <c r="M51" s="222"/>
      <c r="N51" s="223">
        <f t="shared" si="3"/>
        <v>1.1392000000000007</v>
      </c>
    </row>
    <row r="52" spans="1:16" ht="15" x14ac:dyDescent="0.2">
      <c r="A52" s="297">
        <f>+'Tabel 2026 52 weken'!A52</f>
        <v>54642</v>
      </c>
      <c r="B52" s="297">
        <f>+'Tabel 2026 52 weken'!B52</f>
        <v>56412</v>
      </c>
      <c r="D52" s="298">
        <f>+'Tabel 2026 52 weken'!D52</f>
        <v>0.96</v>
      </c>
      <c r="E52" s="129"/>
      <c r="F52" s="221">
        <f t="shared" si="0"/>
        <v>0</v>
      </c>
      <c r="G52" s="220"/>
      <c r="H52" s="221">
        <f t="shared" si="1"/>
        <v>1.1392000000000007</v>
      </c>
      <c r="J52" s="298">
        <f>+'Tabel 2026 52 weken'!J52</f>
        <v>0.96</v>
      </c>
      <c r="K52" s="130"/>
      <c r="L52" s="223">
        <f t="shared" si="2"/>
        <v>0</v>
      </c>
      <c r="M52" s="222"/>
      <c r="N52" s="223">
        <f t="shared" si="3"/>
        <v>1.1392000000000007</v>
      </c>
    </row>
    <row r="53" spans="1:16" ht="15" x14ac:dyDescent="0.2">
      <c r="A53" s="297">
        <f>+'Tabel 2026 52 weken'!A53</f>
        <v>56413</v>
      </c>
      <c r="B53" s="297">
        <f>+'Tabel 2026 52 weken'!B53</f>
        <v>58184</v>
      </c>
      <c r="D53" s="298">
        <f>+'Tabel 2026 52 weken'!D53</f>
        <v>0.95499999999999996</v>
      </c>
      <c r="E53" s="129"/>
      <c r="F53" s="221">
        <f t="shared" si="0"/>
        <v>0</v>
      </c>
      <c r="G53" s="220"/>
      <c r="H53" s="221">
        <f t="shared" si="1"/>
        <v>1.1891000000000007</v>
      </c>
      <c r="J53" s="298">
        <f>+'Tabel 2026 52 weken'!J53</f>
        <v>0.95599999999999996</v>
      </c>
      <c r="K53" s="130"/>
      <c r="L53" s="223">
        <f t="shared" si="2"/>
        <v>0</v>
      </c>
      <c r="M53" s="222"/>
      <c r="N53" s="223">
        <f t="shared" si="3"/>
        <v>1.1791200000000006</v>
      </c>
    </row>
    <row r="54" spans="1:16" ht="15" x14ac:dyDescent="0.2">
      <c r="A54" s="297">
        <f>+'Tabel 2026 52 weken'!A54</f>
        <v>58185</v>
      </c>
      <c r="B54" s="297">
        <f>+'Tabel 2026 52 weken'!B54</f>
        <v>59957</v>
      </c>
      <c r="D54" s="298">
        <f>+'Tabel 2026 52 weken'!D54</f>
        <v>0.94799999999999995</v>
      </c>
      <c r="E54" s="129"/>
      <c r="F54" s="221">
        <f t="shared" si="0"/>
        <v>0</v>
      </c>
      <c r="G54" s="220"/>
      <c r="H54" s="221">
        <f t="shared" si="1"/>
        <v>1.2589600000000007</v>
      </c>
      <c r="J54" s="298">
        <f>+'Tabel 2026 52 weken'!J54</f>
        <v>0.95599999999999996</v>
      </c>
      <c r="K54" s="130"/>
      <c r="L54" s="223">
        <f t="shared" si="2"/>
        <v>0</v>
      </c>
      <c r="M54" s="222"/>
      <c r="N54" s="223">
        <f t="shared" si="3"/>
        <v>1.1791200000000006</v>
      </c>
    </row>
    <row r="55" spans="1:16" ht="15" x14ac:dyDescent="0.2">
      <c r="A55" s="297">
        <f>+'Tabel 2026 52 weken'!A55</f>
        <v>59958</v>
      </c>
      <c r="B55" s="297">
        <f>+'Tabel 2026 52 weken'!B55</f>
        <v>61895</v>
      </c>
      <c r="D55" s="298">
        <f>+'Tabel 2026 52 weken'!D55</f>
        <v>0.93899999999999995</v>
      </c>
      <c r="E55" s="129"/>
      <c r="F55" s="221">
        <f t="shared" si="0"/>
        <v>0</v>
      </c>
      <c r="G55" s="220"/>
      <c r="H55" s="221">
        <f t="shared" si="1"/>
        <v>1.3487800000000008</v>
      </c>
      <c r="J55" s="298">
        <f>+'Tabel 2026 52 weken'!J55</f>
        <v>0.95599999999999996</v>
      </c>
      <c r="K55" s="130"/>
      <c r="L55" s="223">
        <f t="shared" si="2"/>
        <v>0</v>
      </c>
      <c r="M55" s="222"/>
      <c r="N55" s="223">
        <f t="shared" si="3"/>
        <v>1.1791200000000006</v>
      </c>
    </row>
    <row r="56" spans="1:16" ht="15" x14ac:dyDescent="0.2">
      <c r="A56" s="297">
        <f>+'Tabel 2026 52 weken'!A56</f>
        <v>61896</v>
      </c>
      <c r="B56" s="297">
        <f>+'Tabel 2026 52 weken'!B56</f>
        <v>65695</v>
      </c>
      <c r="D56" s="298">
        <f>+'Tabel 2026 52 weken'!D56</f>
        <v>0.92400000000000004</v>
      </c>
      <c r="E56" s="129"/>
      <c r="F56" s="221">
        <f t="shared" si="0"/>
        <v>0</v>
      </c>
      <c r="G56" s="220"/>
      <c r="H56" s="221">
        <f t="shared" si="1"/>
        <v>1.4984799999999998</v>
      </c>
      <c r="J56" s="298">
        <f>+'Tabel 2026 52 weken'!J56</f>
        <v>0.95599999999999996</v>
      </c>
      <c r="K56" s="130"/>
      <c r="L56" s="223">
        <f t="shared" si="2"/>
        <v>0</v>
      </c>
      <c r="M56" s="222"/>
      <c r="N56" s="223">
        <f t="shared" si="3"/>
        <v>1.1791200000000006</v>
      </c>
    </row>
    <row r="57" spans="1:16" ht="15" x14ac:dyDescent="0.2">
      <c r="A57" s="297">
        <f>+'Tabel 2026 52 weken'!A57</f>
        <v>65696</v>
      </c>
      <c r="B57" s="297">
        <f>+'Tabel 2026 52 weken'!B57</f>
        <v>69492</v>
      </c>
      <c r="D57" s="298">
        <f>+'Tabel 2026 52 weken'!D57</f>
        <v>0.91600000000000004</v>
      </c>
      <c r="E57" s="129"/>
      <c r="F57" s="221">
        <f t="shared" si="0"/>
        <v>0</v>
      </c>
      <c r="G57" s="220"/>
      <c r="H57" s="221">
        <f t="shared" si="1"/>
        <v>1.5783199999999997</v>
      </c>
      <c r="J57" s="298">
        <f>+'Tabel 2026 52 weken'!J57</f>
        <v>0.95199999999999996</v>
      </c>
      <c r="K57" s="130"/>
      <c r="L57" s="223">
        <f t="shared" si="2"/>
        <v>0</v>
      </c>
      <c r="M57" s="222"/>
      <c r="N57" s="223">
        <f t="shared" si="3"/>
        <v>1.2190400000000006</v>
      </c>
    </row>
    <row r="58" spans="1:16" ht="15" x14ac:dyDescent="0.2">
      <c r="A58" s="297">
        <f>+'Tabel 2026 52 weken'!A58</f>
        <v>69493</v>
      </c>
      <c r="B58" s="297">
        <f>+'Tabel 2026 52 weken'!B58</f>
        <v>73292</v>
      </c>
      <c r="D58" s="298">
        <f>+'Tabel 2026 52 weken'!D58</f>
        <v>0.90500000000000003</v>
      </c>
      <c r="E58" s="129"/>
      <c r="F58" s="221">
        <f t="shared" si="0"/>
        <v>0</v>
      </c>
      <c r="G58" s="220"/>
      <c r="H58" s="221">
        <f t="shared" si="1"/>
        <v>1.6880999999999999</v>
      </c>
      <c r="J58" s="298">
        <f>+'Tabel 2026 52 weken'!J58</f>
        <v>0.94599999999999995</v>
      </c>
      <c r="K58" s="130"/>
      <c r="L58" s="223">
        <f t="shared" si="2"/>
        <v>0</v>
      </c>
      <c r="M58" s="222"/>
      <c r="N58" s="223">
        <f t="shared" si="3"/>
        <v>1.2789200000000007</v>
      </c>
    </row>
    <row r="59" spans="1:16" ht="15" x14ac:dyDescent="0.2">
      <c r="A59" s="297">
        <f>+'Tabel 2026 52 weken'!A59</f>
        <v>73293</v>
      </c>
      <c r="B59" s="297">
        <f>+'Tabel 2026 52 weken'!B59</f>
        <v>77094</v>
      </c>
      <c r="D59" s="298">
        <f>+'Tabel 2026 52 weken'!D59</f>
        <v>0.88200000000000001</v>
      </c>
      <c r="E59" s="129"/>
      <c r="F59" s="221">
        <f t="shared" si="0"/>
        <v>0</v>
      </c>
      <c r="G59" s="220"/>
      <c r="H59" s="221">
        <f t="shared" si="1"/>
        <v>1.9176400000000002</v>
      </c>
      <c r="J59" s="298">
        <f>+'Tabel 2026 52 weken'!J59</f>
        <v>0.94199999999999995</v>
      </c>
      <c r="K59" s="130"/>
      <c r="L59" s="223">
        <f t="shared" si="2"/>
        <v>0</v>
      </c>
      <c r="M59" s="222"/>
      <c r="N59" s="223">
        <f t="shared" si="3"/>
        <v>1.3188400000000007</v>
      </c>
    </row>
    <row r="60" spans="1:16" ht="15" x14ac:dyDescent="0.2">
      <c r="A60" s="297">
        <f>+'Tabel 2026 52 weken'!A60</f>
        <v>77095</v>
      </c>
      <c r="B60" s="297">
        <f>+'Tabel 2026 52 weken'!B60</f>
        <v>80891</v>
      </c>
      <c r="D60" s="298">
        <f>+'Tabel 2026 52 weken'!D60</f>
        <v>0.85899999999999999</v>
      </c>
      <c r="E60" s="129"/>
      <c r="F60" s="221">
        <f t="shared" si="0"/>
        <v>0</v>
      </c>
      <c r="G60" s="220"/>
      <c r="H60" s="221">
        <f t="shared" si="1"/>
        <v>2.1471800000000005</v>
      </c>
      <c r="J60" s="298">
        <f>+'Tabel 2026 52 weken'!J60</f>
        <v>0.93899999999999995</v>
      </c>
      <c r="K60" s="130"/>
      <c r="L60" s="223">
        <f t="shared" si="2"/>
        <v>0</v>
      </c>
      <c r="M60" s="222"/>
      <c r="N60" s="223">
        <f t="shared" si="3"/>
        <v>1.3487800000000008</v>
      </c>
    </row>
    <row r="61" spans="1:16" ht="15" x14ac:dyDescent="0.2">
      <c r="A61" s="297">
        <f>+'Tabel 2026 52 weken'!A61</f>
        <v>80892</v>
      </c>
      <c r="B61" s="297">
        <f>+'Tabel 2026 52 weken'!B61</f>
        <v>84693</v>
      </c>
      <c r="D61" s="298">
        <f>+'Tabel 2026 52 weken'!D61</f>
        <v>0.83699999999999997</v>
      </c>
      <c r="E61" s="129"/>
      <c r="F61" s="221">
        <f t="shared" si="0"/>
        <v>0</v>
      </c>
      <c r="G61" s="220"/>
      <c r="H61" s="221">
        <f t="shared" si="1"/>
        <v>2.3667400000000005</v>
      </c>
      <c r="J61" s="298">
        <f>+'Tabel 2026 52 weken'!J61</f>
        <v>0.93200000000000005</v>
      </c>
      <c r="K61" s="130"/>
      <c r="L61" s="223">
        <f t="shared" si="2"/>
        <v>0</v>
      </c>
      <c r="M61" s="222"/>
      <c r="N61" s="223">
        <f t="shared" si="3"/>
        <v>1.4186399999999999</v>
      </c>
    </row>
    <row r="62" spans="1:16" ht="15" x14ac:dyDescent="0.2">
      <c r="A62" s="297">
        <f>+'Tabel 2026 52 weken'!A62</f>
        <v>84694</v>
      </c>
      <c r="B62" s="297">
        <f>+'Tabel 2026 52 weken'!B62</f>
        <v>88491</v>
      </c>
      <c r="D62" s="298">
        <f>+'Tabel 2026 52 weken'!D62</f>
        <v>0.81200000000000006</v>
      </c>
      <c r="E62" s="129"/>
      <c r="F62" s="221">
        <f t="shared" si="0"/>
        <v>0</v>
      </c>
      <c r="G62" s="220"/>
      <c r="H62" s="221">
        <f t="shared" si="1"/>
        <v>2.6162399999999995</v>
      </c>
      <c r="J62" s="298">
        <f>+'Tabel 2026 52 weken'!J62</f>
        <v>0.92700000000000005</v>
      </c>
      <c r="K62" s="130"/>
      <c r="L62" s="223">
        <f t="shared" si="2"/>
        <v>0</v>
      </c>
      <c r="M62" s="222"/>
      <c r="N62" s="223">
        <f t="shared" si="3"/>
        <v>1.4685399999999997</v>
      </c>
    </row>
    <row r="63" spans="1:16" ht="15" x14ac:dyDescent="0.2">
      <c r="A63" s="297">
        <f>+'Tabel 2026 52 weken'!A63</f>
        <v>88492</v>
      </c>
      <c r="B63" s="297">
        <f>+'Tabel 2026 52 weken'!B63</f>
        <v>92291</v>
      </c>
      <c r="D63" s="298">
        <f>+'Tabel 2026 52 weken'!D63</f>
        <v>0.78900000000000003</v>
      </c>
      <c r="E63" s="129"/>
      <c r="F63" s="221">
        <f t="shared" si="0"/>
        <v>0</v>
      </c>
      <c r="G63" s="220"/>
      <c r="H63" s="221">
        <f t="shared" si="1"/>
        <v>2.84578</v>
      </c>
      <c r="J63" s="298">
        <f>+'Tabel 2026 52 weken'!J63</f>
        <v>0.92200000000000004</v>
      </c>
      <c r="K63" s="130"/>
      <c r="L63" s="223">
        <f t="shared" si="2"/>
        <v>0</v>
      </c>
      <c r="M63" s="222"/>
      <c r="N63" s="223">
        <f t="shared" si="3"/>
        <v>1.5184399999999998</v>
      </c>
      <c r="P63" s="93"/>
    </row>
    <row r="64" spans="1:16" ht="15" x14ac:dyDescent="0.2">
      <c r="A64" s="297">
        <f>+'Tabel 2026 52 weken'!A64</f>
        <v>92292</v>
      </c>
      <c r="B64" s="297">
        <f>+'Tabel 2026 52 weken'!B64</f>
        <v>96091</v>
      </c>
      <c r="D64" s="298">
        <f>+'Tabel 2026 52 weken'!D64</f>
        <v>0.76700000000000002</v>
      </c>
      <c r="E64" s="129"/>
      <c r="F64" s="221">
        <f t="shared" si="0"/>
        <v>0</v>
      </c>
      <c r="G64" s="220"/>
      <c r="H64" s="221">
        <f t="shared" si="1"/>
        <v>3.06534</v>
      </c>
      <c r="J64" s="298">
        <f>+'Tabel 2026 52 weken'!J64</f>
        <v>0.91500000000000004</v>
      </c>
      <c r="K64" s="130"/>
      <c r="L64" s="223">
        <f t="shared" si="2"/>
        <v>0</v>
      </c>
      <c r="M64" s="222"/>
      <c r="N64" s="223">
        <f t="shared" si="3"/>
        <v>1.5882999999999998</v>
      </c>
    </row>
    <row r="65" spans="1:16" ht="15" x14ac:dyDescent="0.2">
      <c r="A65" s="297">
        <f>+'Tabel 2026 52 weken'!A65</f>
        <v>96092</v>
      </c>
      <c r="B65" s="297">
        <f>+'Tabel 2026 52 weken'!B65</f>
        <v>99889</v>
      </c>
      <c r="D65" s="298">
        <f>+'Tabel 2026 52 weken'!D65</f>
        <v>0.74299999999999999</v>
      </c>
      <c r="E65" s="129"/>
      <c r="F65" s="221">
        <f t="shared" si="0"/>
        <v>0</v>
      </c>
      <c r="G65" s="220"/>
      <c r="H65" s="221">
        <f t="shared" si="1"/>
        <v>3.3048600000000006</v>
      </c>
      <c r="J65" s="298">
        <f>+'Tabel 2026 52 weken'!J65</f>
        <v>0.90900000000000003</v>
      </c>
      <c r="K65" s="130"/>
      <c r="L65" s="223">
        <f t="shared" si="2"/>
        <v>0</v>
      </c>
      <c r="M65" s="222"/>
      <c r="N65" s="223">
        <f t="shared" si="3"/>
        <v>1.64818</v>
      </c>
    </row>
    <row r="66" spans="1:16" ht="15" x14ac:dyDescent="0.2">
      <c r="A66" s="297">
        <f>+'Tabel 2026 52 weken'!A66</f>
        <v>99890</v>
      </c>
      <c r="B66" s="297">
        <f>+'Tabel 2026 52 weken'!B66</f>
        <v>103694</v>
      </c>
      <c r="D66" s="298">
        <f>+'Tabel 2026 52 weken'!D66</f>
        <v>0.72099999999999997</v>
      </c>
      <c r="E66" s="129"/>
      <c r="F66" s="221">
        <f t="shared" si="0"/>
        <v>0</v>
      </c>
      <c r="G66" s="220"/>
      <c r="H66" s="221">
        <f t="shared" si="1"/>
        <v>3.5244200000000006</v>
      </c>
      <c r="J66" s="298">
        <f>+'Tabel 2026 52 weken'!J66</f>
        <v>0.90500000000000003</v>
      </c>
      <c r="K66" s="130"/>
      <c r="L66" s="223">
        <f t="shared" si="2"/>
        <v>0</v>
      </c>
      <c r="M66" s="222"/>
      <c r="N66" s="223">
        <f t="shared" si="3"/>
        <v>1.6880999999999999</v>
      </c>
    </row>
    <row r="67" spans="1:16" ht="15" x14ac:dyDescent="0.2">
      <c r="A67" s="297">
        <f>+'Tabel 2026 52 weken'!A67</f>
        <v>103695</v>
      </c>
      <c r="B67" s="297">
        <f>+'Tabel 2026 52 weken'!B67</f>
        <v>107492</v>
      </c>
      <c r="D67" s="298">
        <f>+'Tabel 2026 52 weken'!D67</f>
        <v>0.69599999999999995</v>
      </c>
      <c r="E67" s="129"/>
      <c r="F67" s="221">
        <f t="shared" si="0"/>
        <v>0</v>
      </c>
      <c r="G67" s="220"/>
      <c r="H67" s="221">
        <f t="shared" si="1"/>
        <v>3.7739200000000008</v>
      </c>
      <c r="J67" s="298">
        <f>+'Tabel 2026 52 weken'!J67</f>
        <v>0.90200000000000002</v>
      </c>
      <c r="K67" s="130"/>
      <c r="L67" s="223">
        <f t="shared" si="2"/>
        <v>0</v>
      </c>
      <c r="M67" s="222"/>
      <c r="N67" s="223">
        <f t="shared" si="3"/>
        <v>1.71804</v>
      </c>
    </row>
    <row r="68" spans="1:16" ht="15" x14ac:dyDescent="0.2">
      <c r="A68" s="297">
        <f>+'Tabel 2026 52 weken'!A68</f>
        <v>107493</v>
      </c>
      <c r="B68" s="297">
        <f>+'Tabel 2026 52 weken'!B68</f>
        <v>111290</v>
      </c>
      <c r="D68" s="298">
        <f>+'Tabel 2026 52 weken'!D68</f>
        <v>0.67300000000000004</v>
      </c>
      <c r="E68" s="129"/>
      <c r="F68" s="221">
        <f t="shared" si="0"/>
        <v>0</v>
      </c>
      <c r="G68" s="220"/>
      <c r="H68" s="221">
        <f t="shared" si="1"/>
        <v>4.0034600000000005</v>
      </c>
      <c r="J68" s="298">
        <f>+'Tabel 2026 52 weken'!J68</f>
        <v>0.89500000000000002</v>
      </c>
      <c r="K68" s="130"/>
      <c r="L68" s="223">
        <f t="shared" si="2"/>
        <v>0</v>
      </c>
      <c r="M68" s="222"/>
      <c r="N68" s="223">
        <f t="shared" si="3"/>
        <v>1.7879</v>
      </c>
    </row>
    <row r="69" spans="1:16" ht="15" x14ac:dyDescent="0.2">
      <c r="A69" s="297">
        <f>+'Tabel 2026 52 weken'!A69</f>
        <v>111291</v>
      </c>
      <c r="B69" s="297">
        <f>+'Tabel 2026 52 weken'!B69</f>
        <v>115090</v>
      </c>
      <c r="D69" s="298">
        <f>+'Tabel 2026 52 weken'!D69</f>
        <v>0.65100000000000002</v>
      </c>
      <c r="E69" s="129"/>
      <c r="F69" s="221">
        <f t="shared" si="0"/>
        <v>0</v>
      </c>
      <c r="G69" s="220"/>
      <c r="H69" s="221">
        <f t="shared" si="1"/>
        <v>4.22302</v>
      </c>
      <c r="J69" s="298">
        <f>+'Tabel 2026 52 weken'!J69</f>
        <v>0.89100000000000001</v>
      </c>
      <c r="K69" s="130"/>
      <c r="L69" s="223">
        <f t="shared" si="2"/>
        <v>0</v>
      </c>
      <c r="M69" s="222"/>
      <c r="N69" s="223">
        <f t="shared" si="3"/>
        <v>1.8278200000000002</v>
      </c>
    </row>
    <row r="70" spans="1:16" ht="15" x14ac:dyDescent="0.2">
      <c r="A70" s="297">
        <f>+'Tabel 2026 52 weken'!A70</f>
        <v>115091</v>
      </c>
      <c r="B70" s="297">
        <f>+'Tabel 2026 52 weken'!B70</f>
        <v>118963</v>
      </c>
      <c r="D70" s="298">
        <f>+'Tabel 2026 52 weken'!D70</f>
        <v>0.627</v>
      </c>
      <c r="E70" s="129"/>
      <c r="F70" s="221">
        <f t="shared" si="0"/>
        <v>0</v>
      </c>
      <c r="G70" s="220"/>
      <c r="H70" s="221">
        <f t="shared" si="1"/>
        <v>4.4625400000000006</v>
      </c>
      <c r="J70" s="298">
        <f>+'Tabel 2026 52 weken'!J70</f>
        <v>0.88600000000000001</v>
      </c>
      <c r="K70" s="130"/>
      <c r="L70" s="223">
        <f t="shared" si="2"/>
        <v>0</v>
      </c>
      <c r="M70" s="222"/>
      <c r="N70" s="223">
        <f t="shared" si="3"/>
        <v>1.8777200000000001</v>
      </c>
    </row>
    <row r="71" spans="1:16" ht="15" x14ac:dyDescent="0.2">
      <c r="A71" s="297">
        <f>+'Tabel 2026 52 weken'!A71</f>
        <v>118964</v>
      </c>
      <c r="B71" s="297">
        <f>+'Tabel 2026 52 weken'!B71</f>
        <v>122857</v>
      </c>
      <c r="D71" s="298">
        <f>+'Tabel 2026 52 weken'!D71</f>
        <v>0.60599999999999998</v>
      </c>
      <c r="E71" s="129"/>
      <c r="F71" s="221">
        <f t="shared" si="0"/>
        <v>0</v>
      </c>
      <c r="G71" s="220"/>
      <c r="H71" s="221">
        <f t="shared" si="1"/>
        <v>4.6721200000000005</v>
      </c>
      <c r="J71" s="298">
        <f>+'Tabel 2026 52 weken'!J71</f>
        <v>0.879</v>
      </c>
      <c r="K71" s="130"/>
      <c r="L71" s="223">
        <f t="shared" si="2"/>
        <v>0</v>
      </c>
      <c r="M71" s="222"/>
      <c r="N71" s="223">
        <f t="shared" si="3"/>
        <v>1.9475800000000003</v>
      </c>
    </row>
    <row r="72" spans="1:16" ht="15" x14ac:dyDescent="0.2">
      <c r="A72" s="297">
        <f>+'Tabel 2026 52 weken'!A72</f>
        <v>122858</v>
      </c>
      <c r="B72" s="297">
        <f>+'Tabel 2026 52 weken'!B72</f>
        <v>126747</v>
      </c>
      <c r="D72" s="298">
        <f>+'Tabel 2026 52 weken'!D72</f>
        <v>0.58499999999999996</v>
      </c>
      <c r="E72" s="129"/>
      <c r="F72" s="221">
        <f t="shared" si="0"/>
        <v>0</v>
      </c>
      <c r="G72" s="220"/>
      <c r="H72" s="221">
        <f t="shared" si="1"/>
        <v>4.8817000000000004</v>
      </c>
      <c r="J72" s="298">
        <f>+'Tabel 2026 52 weken'!J72</f>
        <v>0.874</v>
      </c>
      <c r="K72" s="130"/>
      <c r="L72" s="223">
        <f t="shared" si="2"/>
        <v>0</v>
      </c>
      <c r="M72" s="222"/>
      <c r="N72" s="223">
        <f t="shared" si="3"/>
        <v>1.9974800000000004</v>
      </c>
    </row>
    <row r="73" spans="1:16" ht="15" x14ac:dyDescent="0.2">
      <c r="A73" s="297">
        <f>+'Tabel 2026 52 weken'!A73</f>
        <v>126748</v>
      </c>
      <c r="B73" s="297">
        <f>+'Tabel 2026 52 weken'!B73</f>
        <v>130638</v>
      </c>
      <c r="D73" s="298">
        <f>+'Tabel 2026 52 weken'!D73</f>
        <v>0.56399999999999995</v>
      </c>
      <c r="E73" s="129"/>
      <c r="F73" s="221">
        <f t="shared" si="0"/>
        <v>0</v>
      </c>
      <c r="G73" s="220"/>
      <c r="H73" s="221">
        <f t="shared" si="1"/>
        <v>5.0912800000000011</v>
      </c>
      <c r="J73" s="298">
        <f>+'Tabel 2026 52 weken'!J73</f>
        <v>0.87</v>
      </c>
      <c r="K73" s="130"/>
      <c r="L73" s="223">
        <f t="shared" si="2"/>
        <v>0</v>
      </c>
      <c r="M73" s="222"/>
      <c r="N73" s="223">
        <f t="shared" si="3"/>
        <v>2.0374000000000003</v>
      </c>
    </row>
    <row r="74" spans="1:16" ht="15" x14ac:dyDescent="0.2">
      <c r="A74" s="297">
        <f>+'Tabel 2026 52 weken'!A74</f>
        <v>130639</v>
      </c>
      <c r="B74" s="297">
        <f>+'Tabel 2026 52 weken'!B74</f>
        <v>134527</v>
      </c>
      <c r="D74" s="298">
        <f>+'Tabel 2026 52 weken'!D74</f>
        <v>0.54200000000000004</v>
      </c>
      <c r="E74" s="129"/>
      <c r="F74" s="221">
        <f t="shared" si="0"/>
        <v>0</v>
      </c>
      <c r="G74" s="220"/>
      <c r="H74" s="221">
        <f t="shared" si="1"/>
        <v>5.3108399999999998</v>
      </c>
      <c r="J74" s="298">
        <f>+'Tabel 2026 52 weken'!J74</f>
        <v>0.86699999999999999</v>
      </c>
      <c r="K74" s="130"/>
      <c r="L74" s="223">
        <f t="shared" si="2"/>
        <v>0</v>
      </c>
      <c r="M74" s="222"/>
      <c r="N74" s="223">
        <f t="shared" si="3"/>
        <v>2.0673400000000006</v>
      </c>
    </row>
    <row r="75" spans="1:16" ht="15" x14ac:dyDescent="0.2">
      <c r="A75" s="297">
        <f>+'Tabel 2026 52 weken'!A75</f>
        <v>134528</v>
      </c>
      <c r="B75" s="297">
        <f>+'Tabel 2026 52 weken'!B75</f>
        <v>138420</v>
      </c>
      <c r="D75" s="298">
        <f>+'Tabel 2026 52 weken'!D75</f>
        <v>0.52300000000000002</v>
      </c>
      <c r="E75" s="129"/>
      <c r="F75" s="221">
        <f t="shared" si="0"/>
        <v>0</v>
      </c>
      <c r="G75" s="220"/>
      <c r="H75" s="221">
        <f t="shared" si="1"/>
        <v>5.5004600000000003</v>
      </c>
      <c r="J75" s="298">
        <f>+'Tabel 2026 52 weken'!J75</f>
        <v>0.86</v>
      </c>
      <c r="K75" s="130"/>
      <c r="L75" s="223">
        <f t="shared" si="2"/>
        <v>0</v>
      </c>
      <c r="M75" s="222"/>
      <c r="N75" s="223">
        <f t="shared" si="3"/>
        <v>2.1372000000000004</v>
      </c>
    </row>
    <row r="76" spans="1:16" ht="15" x14ac:dyDescent="0.2">
      <c r="A76" s="297">
        <f>+'Tabel 2026 52 weken'!A76</f>
        <v>138421</v>
      </c>
      <c r="B76" s="297">
        <f>+'Tabel 2026 52 weken'!B76</f>
        <v>142312</v>
      </c>
      <c r="D76" s="298">
        <f>+'Tabel 2026 52 weken'!D76</f>
        <v>0.504</v>
      </c>
      <c r="E76" s="129"/>
      <c r="F76" s="221">
        <f t="shared" si="0"/>
        <v>0</v>
      </c>
      <c r="G76" s="220"/>
      <c r="H76" s="221">
        <f t="shared" si="1"/>
        <v>5.69008</v>
      </c>
      <c r="J76" s="298">
        <f>+'Tabel 2026 52 weken'!J76</f>
        <v>0.85399999999999998</v>
      </c>
      <c r="K76" s="130"/>
      <c r="L76" s="223">
        <f t="shared" si="2"/>
        <v>0</v>
      </c>
      <c r="M76" s="222"/>
      <c r="N76" s="223">
        <f t="shared" si="3"/>
        <v>2.1970800000000006</v>
      </c>
    </row>
    <row r="77" spans="1:16" ht="15" x14ac:dyDescent="0.2">
      <c r="A77" s="297">
        <f>+'Tabel 2026 52 weken'!A77</f>
        <v>142313</v>
      </c>
      <c r="B77" s="297">
        <f>+'Tabel 2026 52 weken'!B77</f>
        <v>146205</v>
      </c>
      <c r="D77" s="298">
        <f>+'Tabel 2026 52 weken'!D77</f>
        <v>0.48499999999999999</v>
      </c>
      <c r="E77" s="129"/>
      <c r="F77" s="221">
        <f t="shared" si="0"/>
        <v>0</v>
      </c>
      <c r="G77" s="220"/>
      <c r="H77" s="221">
        <f t="shared" si="1"/>
        <v>5.8797000000000006</v>
      </c>
      <c r="J77" s="298">
        <f>+'Tabel 2026 52 weken'!J77</f>
        <v>0.85</v>
      </c>
      <c r="K77" s="130"/>
      <c r="L77" s="223">
        <f t="shared" si="2"/>
        <v>0</v>
      </c>
      <c r="M77" s="222"/>
      <c r="N77" s="223">
        <f t="shared" si="3"/>
        <v>2.2370000000000005</v>
      </c>
    </row>
    <row r="78" spans="1:16" ht="15" x14ac:dyDescent="0.2">
      <c r="A78" s="297">
        <f>+'Tabel 2026 52 weken'!A78</f>
        <v>146206</v>
      </c>
      <c r="B78" s="297">
        <f>+'Tabel 2026 52 weken'!B78</f>
        <v>150092</v>
      </c>
      <c r="D78" s="298">
        <f>+'Tabel 2026 52 weken'!D78</f>
        <v>0.46500000000000002</v>
      </c>
      <c r="E78" s="129"/>
      <c r="F78" s="221">
        <f t="shared" si="0"/>
        <v>0</v>
      </c>
      <c r="G78" s="220"/>
      <c r="H78" s="221">
        <f t="shared" si="1"/>
        <v>6.0792999999999999</v>
      </c>
      <c r="J78" s="298">
        <f>+'Tabel 2026 52 weken'!J78</f>
        <v>0.84399999999999997</v>
      </c>
      <c r="K78" s="130"/>
      <c r="L78" s="223">
        <f t="shared" si="2"/>
        <v>0</v>
      </c>
      <c r="M78" s="222"/>
      <c r="N78" s="223">
        <f t="shared" si="3"/>
        <v>2.2968800000000007</v>
      </c>
      <c r="O78" s="95"/>
      <c r="P78" s="10"/>
    </row>
    <row r="79" spans="1:16" ht="15" x14ac:dyDescent="0.2">
      <c r="A79" s="297">
        <f>+'Tabel 2026 52 weken'!A79</f>
        <v>150093</v>
      </c>
      <c r="B79" s="297">
        <f>+'Tabel 2026 52 weken'!B79</f>
        <v>153982</v>
      </c>
      <c r="D79" s="298">
        <f>+'Tabel 2026 52 weken'!D79</f>
        <v>0.44500000000000001</v>
      </c>
      <c r="E79" s="129"/>
      <c r="F79" s="221">
        <f t="shared" si="0"/>
        <v>0</v>
      </c>
      <c r="G79" s="220"/>
      <c r="H79" s="221">
        <f t="shared" si="1"/>
        <v>6.2789000000000001</v>
      </c>
      <c r="J79" s="298">
        <f>+'Tabel 2026 52 weken'!J79</f>
        <v>0.84</v>
      </c>
      <c r="K79" s="130"/>
      <c r="L79" s="223">
        <f t="shared" si="2"/>
        <v>0</v>
      </c>
      <c r="M79" s="222"/>
      <c r="N79" s="223">
        <f t="shared" si="3"/>
        <v>2.3368000000000007</v>
      </c>
    </row>
    <row r="80" spans="1:16" ht="15" x14ac:dyDescent="0.2">
      <c r="A80" s="297">
        <f>+'Tabel 2026 52 weken'!A80</f>
        <v>153983</v>
      </c>
      <c r="B80" s="297">
        <f>+'Tabel 2026 52 weken'!B80</f>
        <v>157877</v>
      </c>
      <c r="D80" s="298">
        <f>+'Tabel 2026 52 weken'!D80</f>
        <v>0.42499999999999999</v>
      </c>
      <c r="E80" s="129"/>
      <c r="F80" s="221">
        <f t="shared" si="0"/>
        <v>0</v>
      </c>
      <c r="G80" s="220"/>
      <c r="H80" s="221">
        <f t="shared" si="1"/>
        <v>6.4785000000000004</v>
      </c>
      <c r="J80" s="298">
        <f>+'Tabel 2026 52 weken'!J80</f>
        <v>0.83299999999999996</v>
      </c>
      <c r="K80" s="130"/>
      <c r="L80" s="223">
        <f t="shared" si="2"/>
        <v>0</v>
      </c>
      <c r="M80" s="222"/>
      <c r="N80" s="223">
        <f t="shared" si="3"/>
        <v>2.4066600000000005</v>
      </c>
    </row>
    <row r="81" spans="1:14" ht="15" x14ac:dyDescent="0.2">
      <c r="A81" s="297">
        <f>+'Tabel 2026 52 weken'!A81</f>
        <v>157878</v>
      </c>
      <c r="B81" s="297">
        <f>+'Tabel 2026 52 weken'!B81</f>
        <v>161766</v>
      </c>
      <c r="D81" s="298">
        <f>+'Tabel 2026 52 weken'!D81</f>
        <v>0.40500000000000003</v>
      </c>
      <c r="E81" s="129"/>
      <c r="F81" s="221">
        <f t="shared" si="0"/>
        <v>0</v>
      </c>
      <c r="G81" s="220"/>
      <c r="H81" s="221">
        <f t="shared" si="1"/>
        <v>6.6781000000000006</v>
      </c>
      <c r="J81" s="298">
        <f>+'Tabel 2026 52 weken'!J81</f>
        <v>0.82699999999999996</v>
      </c>
      <c r="K81" s="130"/>
      <c r="L81" s="223">
        <f t="shared" si="2"/>
        <v>0</v>
      </c>
      <c r="M81" s="222"/>
      <c r="N81" s="223">
        <f t="shared" si="3"/>
        <v>2.4665400000000006</v>
      </c>
    </row>
    <row r="82" spans="1:14" ht="15" x14ac:dyDescent="0.2">
      <c r="A82" s="297">
        <f>+'Tabel 2026 52 weken'!A82</f>
        <v>161767</v>
      </c>
      <c r="B82" s="297">
        <f>+'Tabel 2026 52 weken'!B82</f>
        <v>165657</v>
      </c>
      <c r="D82" s="298">
        <f>+'Tabel 2026 52 weken'!D82</f>
        <v>0.38500000000000001</v>
      </c>
      <c r="E82" s="129"/>
      <c r="F82" s="221">
        <f t="shared" si="0"/>
        <v>0</v>
      </c>
      <c r="G82" s="220"/>
      <c r="H82" s="221">
        <f t="shared" si="1"/>
        <v>6.8777000000000008</v>
      </c>
      <c r="J82" s="298">
        <f>+'Tabel 2026 52 weken'!J82</f>
        <v>0.81699999999999995</v>
      </c>
      <c r="K82" s="130"/>
      <c r="L82" s="223">
        <f t="shared" si="2"/>
        <v>0</v>
      </c>
      <c r="M82" s="222"/>
      <c r="N82" s="223">
        <f t="shared" si="3"/>
        <v>2.5663400000000007</v>
      </c>
    </row>
    <row r="83" spans="1:14" ht="15" x14ac:dyDescent="0.2">
      <c r="A83" s="297">
        <f>+'Tabel 2026 52 weken'!A83</f>
        <v>165658</v>
      </c>
      <c r="B83" s="297">
        <f>+'Tabel 2026 52 weken'!B83</f>
        <v>169547</v>
      </c>
      <c r="D83" s="298">
        <f>+'Tabel 2026 52 weken'!D83</f>
        <v>0.36499999999999999</v>
      </c>
      <c r="E83" s="129"/>
      <c r="F83" s="221">
        <f t="shared" si="0"/>
        <v>0</v>
      </c>
      <c r="G83" s="220"/>
      <c r="H83" s="221">
        <f t="shared" si="1"/>
        <v>7.0773000000000001</v>
      </c>
      <c r="J83" s="298">
        <f>+'Tabel 2026 52 weken'!J83</f>
        <v>0.81399999999999995</v>
      </c>
      <c r="K83" s="130"/>
      <c r="L83" s="223">
        <f t="shared" si="2"/>
        <v>0</v>
      </c>
      <c r="M83" s="222"/>
      <c r="N83" s="223">
        <f t="shared" si="3"/>
        <v>2.596280000000001</v>
      </c>
    </row>
    <row r="84" spans="1:14" ht="15" x14ac:dyDescent="0.2">
      <c r="A84" s="297">
        <f>+'Tabel 2026 52 weken'!A84</f>
        <v>169548</v>
      </c>
      <c r="B84" s="297">
        <f>+'Tabel 2026 52 weken'!B84</f>
        <v>173440</v>
      </c>
      <c r="D84" s="298">
        <f>+'Tabel 2026 52 weken'!D84</f>
        <v>0.36499999999999999</v>
      </c>
      <c r="E84" s="129"/>
      <c r="F84" s="221">
        <f t="shared" si="0"/>
        <v>0</v>
      </c>
      <c r="G84" s="220"/>
      <c r="H84" s="221">
        <f t="shared" si="1"/>
        <v>7.0773000000000001</v>
      </c>
      <c r="J84" s="298">
        <f>+'Tabel 2026 52 weken'!J84</f>
        <v>0.80600000000000005</v>
      </c>
      <c r="K84" s="130"/>
      <c r="L84" s="223">
        <f t="shared" si="2"/>
        <v>0</v>
      </c>
      <c r="M84" s="222"/>
      <c r="N84" s="223">
        <f t="shared" si="3"/>
        <v>2.6761200000000001</v>
      </c>
    </row>
    <row r="85" spans="1:14" ht="15" x14ac:dyDescent="0.2">
      <c r="A85" s="297">
        <f>+'Tabel 2026 52 weken'!A85</f>
        <v>173441</v>
      </c>
      <c r="B85" s="297">
        <f>+'Tabel 2026 52 weken'!B85</f>
        <v>177335</v>
      </c>
      <c r="D85" s="298">
        <f>+'Tabel 2026 52 weken'!D85</f>
        <v>0.36499999999999999</v>
      </c>
      <c r="E85" s="129"/>
      <c r="F85" s="221">
        <f t="shared" si="0"/>
        <v>0</v>
      </c>
      <c r="G85" s="220"/>
      <c r="H85" s="221">
        <f t="shared" si="1"/>
        <v>7.0773000000000001</v>
      </c>
      <c r="J85" s="298">
        <f>+'Tabel 2026 52 weken'!J85</f>
        <v>0.79700000000000004</v>
      </c>
      <c r="K85" s="130"/>
      <c r="L85" s="223">
        <f t="shared" si="2"/>
        <v>0</v>
      </c>
      <c r="M85" s="222"/>
      <c r="N85" s="223">
        <f t="shared" si="3"/>
        <v>2.7659400000000001</v>
      </c>
    </row>
    <row r="86" spans="1:14" ht="15" x14ac:dyDescent="0.2">
      <c r="A86" s="297">
        <f>+'Tabel 2026 52 weken'!A86</f>
        <v>177336</v>
      </c>
      <c r="B86" s="297">
        <f>+'Tabel 2026 52 weken'!B86</f>
        <v>181223</v>
      </c>
      <c r="D86" s="298">
        <f>+'Tabel 2026 52 weken'!D86</f>
        <v>0.36499999999999999</v>
      </c>
      <c r="E86" s="129"/>
      <c r="F86" s="221">
        <f t="shared" si="0"/>
        <v>0</v>
      </c>
      <c r="G86" s="220"/>
      <c r="H86" s="221">
        <f t="shared" si="1"/>
        <v>7.0773000000000001</v>
      </c>
      <c r="J86" s="298">
        <f>+'Tabel 2026 52 weken'!J86</f>
        <v>0.79100000000000004</v>
      </c>
      <c r="K86" s="130"/>
      <c r="L86" s="223">
        <f t="shared" si="2"/>
        <v>0</v>
      </c>
      <c r="M86" s="222"/>
      <c r="N86" s="223">
        <f t="shared" si="3"/>
        <v>2.8258199999999998</v>
      </c>
    </row>
    <row r="87" spans="1:14" ht="15" x14ac:dyDescent="0.2">
      <c r="A87" s="297">
        <f>+'Tabel 2026 52 weken'!A87</f>
        <v>181224</v>
      </c>
      <c r="B87" s="297">
        <f>+'Tabel 2026 52 weken'!B87</f>
        <v>185114</v>
      </c>
      <c r="D87" s="298">
        <f>+'Tabel 2026 52 weken'!D87</f>
        <v>0.36499999999999999</v>
      </c>
      <c r="E87" s="129"/>
      <c r="F87" s="221">
        <f t="shared" si="0"/>
        <v>0</v>
      </c>
      <c r="G87" s="220"/>
      <c r="H87" s="221">
        <f t="shared" si="1"/>
        <v>7.0773000000000001</v>
      </c>
      <c r="J87" s="298">
        <f>+'Tabel 2026 52 weken'!J87</f>
        <v>0.78200000000000003</v>
      </c>
      <c r="K87" s="130"/>
      <c r="L87" s="223">
        <f t="shared" si="2"/>
        <v>0</v>
      </c>
      <c r="M87" s="222"/>
      <c r="N87" s="223">
        <f t="shared" si="3"/>
        <v>2.9156400000000002</v>
      </c>
    </row>
    <row r="88" spans="1:14" ht="15" x14ac:dyDescent="0.2">
      <c r="A88" s="297">
        <f>+'Tabel 2026 52 weken'!A88</f>
        <v>185115</v>
      </c>
      <c r="B88" s="297">
        <f>+'Tabel 2026 52 weken'!B88</f>
        <v>189002</v>
      </c>
      <c r="D88" s="298">
        <f>+'Tabel 2026 52 weken'!D88</f>
        <v>0.36499999999999999</v>
      </c>
      <c r="E88" s="129"/>
      <c r="F88" s="221">
        <f t="shared" si="0"/>
        <v>0</v>
      </c>
      <c r="G88" s="220"/>
      <c r="H88" s="221">
        <f t="shared" si="1"/>
        <v>7.0773000000000001</v>
      </c>
      <c r="J88" s="298">
        <f>+'Tabel 2026 52 weken'!J88</f>
        <v>0.77700000000000002</v>
      </c>
      <c r="K88" s="130"/>
      <c r="L88" s="223">
        <f t="shared" si="2"/>
        <v>0</v>
      </c>
      <c r="M88" s="222"/>
      <c r="N88" s="223">
        <f t="shared" si="3"/>
        <v>2.9655400000000003</v>
      </c>
    </row>
    <row r="89" spans="1:14" ht="15" x14ac:dyDescent="0.2">
      <c r="A89" s="297">
        <f>+'Tabel 2026 52 weken'!A89</f>
        <v>189003</v>
      </c>
      <c r="B89" s="297">
        <f>+'Tabel 2026 52 weken'!B89</f>
        <v>192896</v>
      </c>
      <c r="D89" s="298">
        <f>+'Tabel 2026 52 weken'!D89</f>
        <v>0.36499999999999999</v>
      </c>
      <c r="E89" s="129"/>
      <c r="F89" s="221">
        <f t="shared" si="0"/>
        <v>0</v>
      </c>
      <c r="G89" s="220"/>
      <c r="H89" s="221">
        <f t="shared" si="1"/>
        <v>7.0773000000000001</v>
      </c>
      <c r="J89" s="298">
        <f>+'Tabel 2026 52 weken'!J89</f>
        <v>0.76900000000000002</v>
      </c>
      <c r="K89" s="130"/>
      <c r="L89" s="223">
        <f t="shared" si="2"/>
        <v>0</v>
      </c>
      <c r="M89" s="222"/>
      <c r="N89" s="223">
        <f t="shared" si="3"/>
        <v>3.0453800000000002</v>
      </c>
    </row>
    <row r="90" spans="1:14" ht="15" x14ac:dyDescent="0.2">
      <c r="A90" s="297">
        <f>+'Tabel 2026 52 weken'!A90</f>
        <v>192897</v>
      </c>
      <c r="B90" s="297">
        <f>+'Tabel 2026 52 weken'!B90</f>
        <v>196789</v>
      </c>
      <c r="D90" s="298">
        <f>+'Tabel 2026 52 weken'!D90</f>
        <v>0.36499999999999999</v>
      </c>
      <c r="E90" s="129"/>
      <c r="F90" s="221">
        <f t="shared" si="0"/>
        <v>0</v>
      </c>
      <c r="G90" s="220"/>
      <c r="H90" s="221">
        <f t="shared" si="1"/>
        <v>7.0773000000000001</v>
      </c>
      <c r="J90" s="298">
        <f>+'Tabel 2026 52 weken'!J90</f>
        <v>0.76200000000000001</v>
      </c>
      <c r="K90" s="130"/>
      <c r="L90" s="223">
        <f t="shared" si="2"/>
        <v>0</v>
      </c>
      <c r="M90" s="222"/>
      <c r="N90" s="223">
        <f t="shared" si="3"/>
        <v>3.11524</v>
      </c>
    </row>
    <row r="91" spans="1:14" ht="15" x14ac:dyDescent="0.2">
      <c r="A91" s="297">
        <f>+'Tabel 2026 52 weken'!A91</f>
        <v>196790</v>
      </c>
      <c r="B91" s="297">
        <f>+'Tabel 2026 52 weken'!B91</f>
        <v>200681</v>
      </c>
      <c r="D91" s="298">
        <f>+'Tabel 2026 52 weken'!D91</f>
        <v>0.36499999999999999</v>
      </c>
      <c r="E91" s="129"/>
      <c r="F91" s="221">
        <f t="shared" si="0"/>
        <v>0</v>
      </c>
      <c r="G91" s="220"/>
      <c r="H91" s="221">
        <f t="shared" si="1"/>
        <v>7.0773000000000001</v>
      </c>
      <c r="J91" s="298">
        <f>+'Tabel 2026 52 weken'!J91</f>
        <v>0.755</v>
      </c>
      <c r="K91" s="130"/>
      <c r="L91" s="223">
        <f t="shared" si="2"/>
        <v>0</v>
      </c>
      <c r="M91" s="222"/>
      <c r="N91" s="223">
        <f t="shared" si="3"/>
        <v>3.1851000000000003</v>
      </c>
    </row>
    <row r="92" spans="1:14" ht="15" x14ac:dyDescent="0.2">
      <c r="A92" s="297">
        <f>+'Tabel 2026 52 weken'!A92</f>
        <v>200682</v>
      </c>
      <c r="B92" s="297">
        <f>+'Tabel 2026 52 weken'!B92</f>
        <v>204571</v>
      </c>
      <c r="D92" s="298">
        <f>+'Tabel 2026 52 weken'!D92</f>
        <v>0.36499999999999999</v>
      </c>
      <c r="E92" s="129"/>
      <c r="F92" s="221">
        <f t="shared" si="0"/>
        <v>0</v>
      </c>
      <c r="G92" s="220"/>
      <c r="H92" s="221">
        <f t="shared" si="1"/>
        <v>7.0773000000000001</v>
      </c>
      <c r="J92" s="298">
        <f>+'Tabel 2026 52 weken'!J92</f>
        <v>0.745</v>
      </c>
      <c r="K92" s="130"/>
      <c r="L92" s="223">
        <f t="shared" si="2"/>
        <v>0</v>
      </c>
      <c r="M92" s="222"/>
      <c r="N92" s="223">
        <f t="shared" si="3"/>
        <v>3.2849000000000004</v>
      </c>
    </row>
    <row r="93" spans="1:14" ht="15" x14ac:dyDescent="0.2">
      <c r="A93" s="297">
        <f>+'Tabel 2026 52 weken'!A93</f>
        <v>204572</v>
      </c>
      <c r="B93" s="297">
        <f>+'Tabel 2026 52 weken'!B93</f>
        <v>208458</v>
      </c>
      <c r="D93" s="298">
        <f>+'Tabel 2026 52 weken'!D93</f>
        <v>0.36499999999999999</v>
      </c>
      <c r="E93" s="129"/>
      <c r="F93" s="221">
        <f t="shared" si="0"/>
        <v>0</v>
      </c>
      <c r="G93" s="220"/>
      <c r="H93" s="221">
        <f t="shared" si="1"/>
        <v>7.0773000000000001</v>
      </c>
      <c r="J93" s="298">
        <f>+'Tabel 2026 52 weken'!J93</f>
        <v>0.74</v>
      </c>
      <c r="K93" s="130"/>
      <c r="L93" s="223">
        <f t="shared" si="2"/>
        <v>0</v>
      </c>
      <c r="M93" s="222"/>
      <c r="N93" s="223">
        <f t="shared" si="3"/>
        <v>3.3348000000000004</v>
      </c>
    </row>
    <row r="94" spans="1:14" ht="15" x14ac:dyDescent="0.2">
      <c r="A94" s="297">
        <f>+'Tabel 2026 52 weken'!A94</f>
        <v>208459</v>
      </c>
      <c r="B94" s="297">
        <f>+'Tabel 2026 52 weken'!B94</f>
        <v>212353</v>
      </c>
      <c r="D94" s="298">
        <f>+'Tabel 2026 52 weken'!D94</f>
        <v>0.36499999999999999</v>
      </c>
      <c r="E94" s="129"/>
      <c r="F94" s="221">
        <f t="shared" si="0"/>
        <v>0</v>
      </c>
      <c r="G94" s="220"/>
      <c r="H94" s="221">
        <f t="shared" si="1"/>
        <v>7.0773000000000001</v>
      </c>
      <c r="J94" s="298">
        <f>+'Tabel 2026 52 weken'!J94</f>
        <v>0.73299999999999998</v>
      </c>
      <c r="K94" s="130"/>
      <c r="L94" s="223">
        <f t="shared" si="2"/>
        <v>0</v>
      </c>
      <c r="M94" s="222"/>
      <c r="N94" s="223">
        <f t="shared" si="3"/>
        <v>3.4046600000000007</v>
      </c>
    </row>
    <row r="95" spans="1:14" ht="15" x14ac:dyDescent="0.2">
      <c r="A95" s="297">
        <f>+'Tabel 2026 52 weken'!A95</f>
        <v>212354</v>
      </c>
      <c r="B95" s="297">
        <f>+'Tabel 2026 52 weken'!B95</f>
        <v>216242</v>
      </c>
      <c r="D95" s="298">
        <f>+'Tabel 2026 52 weken'!D95</f>
        <v>0.36499999999999999</v>
      </c>
      <c r="E95" s="129"/>
      <c r="F95" s="221">
        <f t="shared" si="0"/>
        <v>0</v>
      </c>
      <c r="G95" s="220"/>
      <c r="H95" s="221">
        <f t="shared" si="1"/>
        <v>7.0773000000000001</v>
      </c>
      <c r="J95" s="298">
        <f>+'Tabel 2026 52 weken'!J95</f>
        <v>0.72499999999999998</v>
      </c>
      <c r="K95" s="130"/>
      <c r="L95" s="223">
        <f t="shared" si="2"/>
        <v>0</v>
      </c>
      <c r="M95" s="222"/>
      <c r="N95" s="223">
        <f t="shared" si="3"/>
        <v>3.4845000000000006</v>
      </c>
    </row>
    <row r="96" spans="1:14" ht="15" x14ac:dyDescent="0.2">
      <c r="A96" s="297">
        <f>+'Tabel 2026 52 weken'!A96</f>
        <v>216243</v>
      </c>
      <c r="B96" s="297">
        <f>+'Tabel 2026 52 weken'!B96</f>
        <v>220134</v>
      </c>
      <c r="D96" s="298">
        <f>+'Tabel 2026 52 weken'!D96</f>
        <v>0.36499999999999999</v>
      </c>
      <c r="E96" s="129"/>
      <c r="F96" s="221">
        <f t="shared" si="0"/>
        <v>0</v>
      </c>
      <c r="G96" s="220"/>
      <c r="H96" s="221">
        <f t="shared" si="1"/>
        <v>7.0773000000000001</v>
      </c>
      <c r="J96" s="298">
        <f>+'Tabel 2026 52 weken'!J96</f>
        <v>0.71799999999999997</v>
      </c>
      <c r="K96" s="130"/>
      <c r="L96" s="223">
        <f t="shared" si="2"/>
        <v>0</v>
      </c>
      <c r="M96" s="222"/>
      <c r="N96" s="223">
        <f t="shared" si="3"/>
        <v>3.5543600000000004</v>
      </c>
    </row>
    <row r="97" spans="1:14" ht="15" x14ac:dyDescent="0.2">
      <c r="A97" s="297">
        <f>+'Tabel 2026 52 weken'!A97</f>
        <v>220135</v>
      </c>
      <c r="B97" s="297">
        <f>+'Tabel 2026 52 weken'!B97</f>
        <v>224026</v>
      </c>
      <c r="D97" s="298">
        <f>+'Tabel 2026 52 weken'!D97</f>
        <v>0.36499999999999999</v>
      </c>
      <c r="E97" s="129"/>
      <c r="F97" s="221">
        <f t="shared" si="0"/>
        <v>0</v>
      </c>
      <c r="G97" s="220"/>
      <c r="H97" s="221">
        <f t="shared" si="1"/>
        <v>7.0773000000000001</v>
      </c>
      <c r="J97" s="298">
        <f>+'Tabel 2026 52 weken'!J97</f>
        <v>0.71199999999999997</v>
      </c>
      <c r="K97" s="130"/>
      <c r="L97" s="223">
        <f t="shared" si="2"/>
        <v>0</v>
      </c>
      <c r="M97" s="222"/>
      <c r="N97" s="223">
        <f t="shared" si="3"/>
        <v>3.6142400000000006</v>
      </c>
    </row>
    <row r="98" spans="1:14" ht="15" x14ac:dyDescent="0.2">
      <c r="A98" s="297">
        <f>+'Tabel 2026 52 weken'!A98</f>
        <v>224027</v>
      </c>
      <c r="B98" s="297">
        <f>+'Tabel 2026 52 weken'!B98</f>
        <v>227915</v>
      </c>
      <c r="D98" s="298">
        <f>+'Tabel 2026 52 weken'!D98</f>
        <v>0.36499999999999999</v>
      </c>
      <c r="E98" s="129"/>
      <c r="F98" s="221">
        <f t="shared" ref="F98:F101" si="4">IF($D$19&gt;=$F$28,($F$28*(100%-D98))+($F$19),$D$19*(100%-D98)+$F$19)</f>
        <v>0</v>
      </c>
      <c r="G98" s="220"/>
      <c r="H98" s="221">
        <f t="shared" ref="H98:H101" si="5">IF($D$20&gt;=$H$28,($H$28*(100%-D98))+($F$20),$D$20*(100%-D98)+($F$20))</f>
        <v>7.0773000000000001</v>
      </c>
      <c r="J98" s="298">
        <f>+'Tabel 2026 52 weken'!J98</f>
        <v>0.70399999999999996</v>
      </c>
      <c r="K98" s="130"/>
      <c r="L98" s="223">
        <f t="shared" ref="L98:L101" si="6">IF($D$19&gt;=$L$28,($L$28*(100%-J98))+(F$19),$D$19*(100%-J98)+$F$19)</f>
        <v>0</v>
      </c>
      <c r="M98" s="222"/>
      <c r="N98" s="223">
        <f t="shared" ref="N98:N101" si="7">IF($D$20&gt;=$H$28,($H$28*(100%-J98))+($F$20),$D$20*(100%-J98)+($F$20))</f>
        <v>3.6940800000000009</v>
      </c>
    </row>
    <row r="99" spans="1:14" ht="15" x14ac:dyDescent="0.2">
      <c r="A99" s="297">
        <f>+'Tabel 2026 52 weken'!A99</f>
        <v>227916</v>
      </c>
      <c r="B99" s="297">
        <f>+'Tabel 2026 52 weken'!B99</f>
        <v>231807</v>
      </c>
      <c r="D99" s="298">
        <f>+'Tabel 2026 52 weken'!D99</f>
        <v>0.36499999999999999</v>
      </c>
      <c r="E99" s="129"/>
      <c r="F99" s="221">
        <f t="shared" si="4"/>
        <v>0</v>
      </c>
      <c r="G99" s="220"/>
      <c r="H99" s="221">
        <f t="shared" si="5"/>
        <v>7.0773000000000001</v>
      </c>
      <c r="J99" s="298">
        <f>+'Tabel 2026 52 weken'!J99</f>
        <v>0.69599999999999995</v>
      </c>
      <c r="K99" s="130"/>
      <c r="L99" s="223">
        <f t="shared" si="6"/>
        <v>0</v>
      </c>
      <c r="M99" s="222"/>
      <c r="N99" s="223">
        <f t="shared" si="7"/>
        <v>3.7739200000000008</v>
      </c>
    </row>
    <row r="100" spans="1:14" ht="15" x14ac:dyDescent="0.2">
      <c r="A100" s="297">
        <f>+'Tabel 2026 52 weken'!A100</f>
        <v>231808</v>
      </c>
      <c r="B100" s="297">
        <f>+'Tabel 2026 52 weken'!B100</f>
        <v>235697</v>
      </c>
      <c r="D100" s="298">
        <f>+'Tabel 2026 52 weken'!D100</f>
        <v>0.36499999999999999</v>
      </c>
      <c r="E100" s="129"/>
      <c r="F100" s="221">
        <f t="shared" si="4"/>
        <v>0</v>
      </c>
      <c r="G100" s="220"/>
      <c r="H100" s="221">
        <f t="shared" si="5"/>
        <v>7.0773000000000001</v>
      </c>
      <c r="J100" s="298">
        <f>+'Tabel 2026 52 weken'!J100</f>
        <v>0.69099999999999995</v>
      </c>
      <c r="K100" s="130"/>
      <c r="L100" s="223">
        <f t="shared" si="6"/>
        <v>0</v>
      </c>
      <c r="M100" s="222"/>
      <c r="N100" s="223">
        <f t="shared" si="7"/>
        <v>3.8238200000000009</v>
      </c>
    </row>
    <row r="101" spans="1:14" ht="15" x14ac:dyDescent="0.2">
      <c r="A101" s="297">
        <f>+'Tabel 2026 52 weken'!A101</f>
        <v>235698</v>
      </c>
      <c r="B101" s="297" t="str">
        <f>+'Tabel 2026 52 weken'!B101</f>
        <v>en hoger</v>
      </c>
      <c r="D101" s="298">
        <f>+'Tabel 2026 52 weken'!D101</f>
        <v>0.36499999999999999</v>
      </c>
      <c r="E101" s="129"/>
      <c r="F101" s="221">
        <f t="shared" si="4"/>
        <v>0</v>
      </c>
      <c r="G101" s="220"/>
      <c r="H101" s="221">
        <f t="shared" si="5"/>
        <v>7.0773000000000001</v>
      </c>
      <c r="J101" s="298">
        <f>+'Tabel 2026 52 weken'!J101</f>
        <v>0.68200000000000005</v>
      </c>
      <c r="K101" s="130"/>
      <c r="L101" s="223">
        <f t="shared" si="6"/>
        <v>0</v>
      </c>
      <c r="M101" s="222"/>
      <c r="N101" s="223">
        <f t="shared" si="7"/>
        <v>3.91364</v>
      </c>
    </row>
    <row r="103" spans="1:14" x14ac:dyDescent="0.2">
      <c r="F103" s="69">
        <f>SUM(F33:F101)</f>
        <v>0</v>
      </c>
      <c r="H103" s="69">
        <f>SUM(H33:H101)</f>
        <v>273.48426000000012</v>
      </c>
      <c r="J103" s="69"/>
      <c r="L103" s="69">
        <f>SUM(L33:L101)</f>
        <v>0</v>
      </c>
      <c r="N103" s="69">
        <f>SUM(N33:N101)</f>
        <v>137.87602000000001</v>
      </c>
    </row>
    <row r="104" spans="1:14" x14ac:dyDescent="0.2">
      <c r="A104" s="314">
        <f>+SUM(A33:B101)+SUM(D33:D101)+SUM(J33:J101)</f>
        <v>15483327.014</v>
      </c>
      <c r="B104" s="314"/>
    </row>
    <row r="105" spans="1:14" x14ac:dyDescent="0.2">
      <c r="A105" s="96"/>
    </row>
    <row r="106" spans="1:14" x14ac:dyDescent="0.2">
      <c r="A106" s="96"/>
    </row>
    <row r="110" spans="1:14" ht="15.75" x14ac:dyDescent="0.2">
      <c r="A110" s="125"/>
      <c r="B110" s="126"/>
      <c r="C110" s="124"/>
      <c r="D110" s="124"/>
    </row>
    <row r="111" spans="1:14" ht="15.75" x14ac:dyDescent="0.2">
      <c r="A111" s="126"/>
      <c r="B111" s="126"/>
      <c r="C111" s="124"/>
      <c r="D111" s="124"/>
    </row>
    <row r="112" spans="1:14" ht="15.75" x14ac:dyDescent="0.2">
      <c r="A112" s="126"/>
      <c r="B112" s="126"/>
      <c r="C112" s="124"/>
      <c r="D112" s="124"/>
    </row>
    <row r="113" spans="1:10" ht="15.75" x14ac:dyDescent="0.2">
      <c r="A113" s="126"/>
      <c r="B113" s="126"/>
      <c r="C113" s="124"/>
      <c r="D113" s="124"/>
    </row>
    <row r="114" spans="1:10" ht="15.75" x14ac:dyDescent="0.2">
      <c r="A114" s="126"/>
      <c r="B114" s="126"/>
      <c r="C114" s="124"/>
      <c r="D114" s="124"/>
    </row>
    <row r="115" spans="1:10" ht="15.75" x14ac:dyDescent="0.2">
      <c r="A115" s="126"/>
      <c r="B115" s="126"/>
      <c r="C115" s="124"/>
      <c r="D115" s="124"/>
      <c r="F115"/>
      <c r="H115"/>
      <c r="J115"/>
    </row>
    <row r="116" spans="1:10" ht="15.75" x14ac:dyDescent="0.2">
      <c r="A116" s="126"/>
      <c r="B116" s="126"/>
      <c r="C116" s="124"/>
      <c r="D116" s="124"/>
      <c r="F116"/>
      <c r="H116"/>
      <c r="J116"/>
    </row>
    <row r="117" spans="1:10" ht="15.75" x14ac:dyDescent="0.2">
      <c r="A117" s="126"/>
      <c r="B117" s="126"/>
      <c r="C117" s="124"/>
      <c r="D117" s="124"/>
      <c r="F117"/>
      <c r="H117"/>
      <c r="J117"/>
    </row>
    <row r="118" spans="1:10" ht="15.75" x14ac:dyDescent="0.2">
      <c r="A118" s="126"/>
      <c r="B118" s="126"/>
      <c r="C118" s="124"/>
      <c r="D118" s="124"/>
      <c r="F118"/>
      <c r="H118"/>
      <c r="J118"/>
    </row>
    <row r="119" spans="1:10" ht="15.75" x14ac:dyDescent="0.2">
      <c r="A119" s="126"/>
      <c r="B119" s="126"/>
      <c r="C119" s="124"/>
      <c r="D119" s="124"/>
      <c r="F119"/>
      <c r="H119"/>
      <c r="J119"/>
    </row>
    <row r="120" spans="1:10" ht="15.75" x14ac:dyDescent="0.2">
      <c r="A120" s="126"/>
      <c r="B120" s="126"/>
      <c r="C120" s="124"/>
      <c r="D120" s="124"/>
      <c r="F120"/>
      <c r="H120"/>
      <c r="J120"/>
    </row>
    <row r="121" spans="1:10" ht="15.75" x14ac:dyDescent="0.2">
      <c r="A121" s="126"/>
      <c r="B121" s="126"/>
      <c r="C121" s="124"/>
      <c r="D121" s="124"/>
      <c r="F121"/>
      <c r="H121"/>
      <c r="J121"/>
    </row>
    <row r="122" spans="1:10" ht="15.75" x14ac:dyDescent="0.2">
      <c r="A122" s="126"/>
      <c r="B122" s="126"/>
      <c r="C122" s="124"/>
      <c r="D122" s="124"/>
      <c r="F122"/>
      <c r="H122"/>
      <c r="J122"/>
    </row>
    <row r="123" spans="1:10" ht="15.75" x14ac:dyDescent="0.2">
      <c r="A123" s="126"/>
      <c r="B123" s="126"/>
      <c r="C123" s="124"/>
      <c r="D123" s="124"/>
      <c r="F123"/>
      <c r="H123"/>
      <c r="J123"/>
    </row>
    <row r="124" spans="1:10" ht="15.75" x14ac:dyDescent="0.2">
      <c r="A124" s="126"/>
      <c r="B124" s="126"/>
      <c r="C124" s="124"/>
      <c r="D124" s="124"/>
      <c r="F124"/>
      <c r="H124"/>
      <c r="J124"/>
    </row>
    <row r="125" spans="1:10" ht="15.75" x14ac:dyDescent="0.2">
      <c r="A125" s="126"/>
      <c r="B125" s="126"/>
      <c r="C125" s="124"/>
      <c r="D125" s="124"/>
      <c r="F125"/>
      <c r="H125"/>
      <c r="J125"/>
    </row>
    <row r="126" spans="1:10" ht="15.75" x14ac:dyDescent="0.2">
      <c r="A126" s="126"/>
      <c r="B126" s="126"/>
      <c r="C126" s="124"/>
      <c r="D126" s="124"/>
      <c r="F126"/>
      <c r="H126"/>
      <c r="J126"/>
    </row>
    <row r="127" spans="1:10" ht="15.75" x14ac:dyDescent="0.2">
      <c r="A127" s="126"/>
      <c r="B127" s="126"/>
      <c r="C127" s="124"/>
      <c r="D127" s="124"/>
      <c r="F127"/>
      <c r="H127"/>
      <c r="J127"/>
    </row>
    <row r="128" spans="1:10" ht="15.75" x14ac:dyDescent="0.2">
      <c r="A128" s="126"/>
      <c r="B128" s="126"/>
      <c r="C128" s="124"/>
      <c r="D128" s="124"/>
      <c r="F128"/>
      <c r="H128"/>
      <c r="J128"/>
    </row>
    <row r="129" spans="1:10" ht="15.75" x14ac:dyDescent="0.2">
      <c r="A129" s="126"/>
      <c r="B129" s="126"/>
      <c r="C129" s="124"/>
      <c r="D129" s="124"/>
      <c r="F129"/>
      <c r="H129"/>
      <c r="J129"/>
    </row>
    <row r="130" spans="1:10" ht="15.75" x14ac:dyDescent="0.2">
      <c r="A130" s="126"/>
      <c r="B130" s="126"/>
      <c r="C130" s="124"/>
      <c r="D130" s="124"/>
      <c r="F130"/>
      <c r="H130"/>
      <c r="J130"/>
    </row>
    <row r="131" spans="1:10" ht="15.75" x14ac:dyDescent="0.2">
      <c r="A131" s="126"/>
      <c r="B131" s="126"/>
      <c r="C131" s="124"/>
      <c r="D131" s="124"/>
      <c r="F131"/>
      <c r="H131"/>
      <c r="J131"/>
    </row>
    <row r="132" spans="1:10" ht="15.75" x14ac:dyDescent="0.2">
      <c r="A132" s="126"/>
      <c r="B132" s="126"/>
      <c r="C132" s="124"/>
      <c r="D132" s="124"/>
      <c r="F132"/>
      <c r="H132"/>
      <c r="J132"/>
    </row>
    <row r="133" spans="1:10" ht="15.75" x14ac:dyDescent="0.2">
      <c r="A133" s="126"/>
      <c r="B133" s="126"/>
      <c r="C133" s="124"/>
      <c r="D133" s="124"/>
      <c r="F133"/>
      <c r="H133"/>
      <c r="J133"/>
    </row>
    <row r="134" spans="1:10" ht="15.75" x14ac:dyDescent="0.2">
      <c r="A134" s="126"/>
      <c r="B134" s="126"/>
      <c r="C134" s="124"/>
      <c r="D134" s="124"/>
      <c r="F134"/>
      <c r="H134"/>
      <c r="J134"/>
    </row>
    <row r="135" spans="1:10" ht="15.75" x14ac:dyDescent="0.2">
      <c r="A135" s="126"/>
      <c r="B135" s="126"/>
      <c r="C135" s="124"/>
      <c r="D135" s="124"/>
      <c r="F135"/>
      <c r="H135"/>
      <c r="J135"/>
    </row>
    <row r="136" spans="1:10" ht="15.75" x14ac:dyDescent="0.2">
      <c r="A136" s="126"/>
      <c r="B136" s="126"/>
      <c r="C136" s="124"/>
      <c r="D136" s="124"/>
      <c r="F136"/>
      <c r="H136"/>
      <c r="J136"/>
    </row>
    <row r="137" spans="1:10" ht="15.75" x14ac:dyDescent="0.2">
      <c r="A137" s="126"/>
      <c r="B137" s="126"/>
      <c r="C137" s="124"/>
      <c r="D137" s="124"/>
      <c r="F137"/>
      <c r="H137"/>
      <c r="J137"/>
    </row>
    <row r="138" spans="1:10" ht="15.75" x14ac:dyDescent="0.2">
      <c r="A138" s="126"/>
      <c r="B138" s="126"/>
      <c r="C138" s="124"/>
      <c r="D138" s="124"/>
      <c r="F138"/>
      <c r="H138"/>
      <c r="J138"/>
    </row>
    <row r="139" spans="1:10" ht="15.75" x14ac:dyDescent="0.2">
      <c r="A139" s="126"/>
      <c r="B139" s="126"/>
      <c r="C139" s="124"/>
      <c r="D139" s="124"/>
      <c r="F139"/>
      <c r="H139"/>
      <c r="J139"/>
    </row>
    <row r="140" spans="1:10" ht="15.75" x14ac:dyDescent="0.2">
      <c r="A140" s="126"/>
      <c r="B140" s="126"/>
      <c r="C140" s="124"/>
      <c r="D140" s="124"/>
      <c r="F140"/>
      <c r="H140"/>
      <c r="J140"/>
    </row>
    <row r="141" spans="1:10" ht="15.75" x14ac:dyDescent="0.2">
      <c r="A141" s="126"/>
      <c r="B141" s="126"/>
      <c r="C141" s="124"/>
      <c r="D141" s="124"/>
      <c r="F141"/>
      <c r="H141"/>
      <c r="J141"/>
    </row>
    <row r="142" spans="1:10" ht="15.75" x14ac:dyDescent="0.2">
      <c r="A142" s="126"/>
      <c r="B142" s="126"/>
      <c r="C142" s="124"/>
      <c r="D142" s="124"/>
      <c r="F142"/>
      <c r="H142"/>
      <c r="J142"/>
    </row>
    <row r="143" spans="1:10" ht="15.75" x14ac:dyDescent="0.2">
      <c r="A143" s="126"/>
      <c r="B143" s="126"/>
      <c r="C143" s="124"/>
      <c r="D143" s="124"/>
      <c r="F143"/>
      <c r="H143"/>
      <c r="J143"/>
    </row>
    <row r="144" spans="1:10" ht="15.75" x14ac:dyDescent="0.2">
      <c r="A144" s="126"/>
      <c r="B144" s="126"/>
      <c r="C144" s="124"/>
      <c r="D144" s="124"/>
      <c r="F144"/>
      <c r="H144"/>
      <c r="J144"/>
    </row>
    <row r="145" spans="1:10" ht="15.75" x14ac:dyDescent="0.2">
      <c r="A145" s="126"/>
      <c r="B145" s="126"/>
      <c r="C145" s="124"/>
      <c r="D145" s="124"/>
      <c r="F145"/>
      <c r="H145"/>
      <c r="J145"/>
    </row>
    <row r="146" spans="1:10" ht="15.75" x14ac:dyDescent="0.2">
      <c r="A146" s="126"/>
      <c r="B146" s="126"/>
      <c r="C146" s="124"/>
      <c r="D146" s="124"/>
      <c r="F146"/>
      <c r="H146"/>
      <c r="J146"/>
    </row>
    <row r="147" spans="1:10" ht="15.75" x14ac:dyDescent="0.2">
      <c r="A147" s="126"/>
      <c r="B147" s="126"/>
      <c r="C147" s="124"/>
      <c r="D147" s="124"/>
      <c r="F147"/>
      <c r="H147"/>
      <c r="J147"/>
    </row>
    <row r="148" spans="1:10" ht="15.75" x14ac:dyDescent="0.2">
      <c r="A148" s="126"/>
      <c r="B148" s="126"/>
      <c r="C148" s="124"/>
      <c r="D148" s="124"/>
      <c r="F148"/>
      <c r="H148"/>
      <c r="J148"/>
    </row>
    <row r="149" spans="1:10" ht="15.75" x14ac:dyDescent="0.2">
      <c r="A149" s="126"/>
      <c r="B149" s="126"/>
      <c r="C149" s="124"/>
      <c r="D149" s="124"/>
      <c r="F149"/>
      <c r="H149"/>
      <c r="J149"/>
    </row>
    <row r="150" spans="1:10" ht="15.75" x14ac:dyDescent="0.2">
      <c r="A150" s="127"/>
      <c r="B150" s="128"/>
      <c r="C150" s="124"/>
      <c r="D150" s="124"/>
      <c r="F150"/>
      <c r="H150"/>
      <c r="J150"/>
    </row>
    <row r="151" spans="1:10" ht="15.75" x14ac:dyDescent="0.2">
      <c r="A151" s="128"/>
      <c r="B151" s="128"/>
      <c r="C151" s="124"/>
      <c r="D151" s="124"/>
      <c r="F151"/>
      <c r="H151"/>
      <c r="J151"/>
    </row>
    <row r="152" spans="1:10" ht="15.75" x14ac:dyDescent="0.2">
      <c r="A152" s="128"/>
      <c r="B152" s="128"/>
      <c r="C152" s="124"/>
      <c r="D152" s="124"/>
      <c r="F152"/>
      <c r="H152"/>
      <c r="J152"/>
    </row>
    <row r="153" spans="1:10" ht="15.75" x14ac:dyDescent="0.2">
      <c r="A153" s="128"/>
      <c r="B153" s="128"/>
      <c r="C153" s="124"/>
      <c r="D153" s="124"/>
      <c r="F153"/>
      <c r="H153"/>
      <c r="J153"/>
    </row>
    <row r="154" spans="1:10" ht="15.75" x14ac:dyDescent="0.2">
      <c r="A154" s="128"/>
      <c r="B154" s="128"/>
      <c r="C154" s="124"/>
      <c r="D154" s="124"/>
      <c r="F154"/>
      <c r="H154"/>
      <c r="J154"/>
    </row>
    <row r="155" spans="1:10" ht="15.75" x14ac:dyDescent="0.2">
      <c r="A155" s="128"/>
      <c r="B155" s="128"/>
      <c r="C155" s="124"/>
      <c r="D155" s="124"/>
      <c r="F155"/>
      <c r="H155"/>
      <c r="J155"/>
    </row>
    <row r="156" spans="1:10" ht="15.75" x14ac:dyDescent="0.2">
      <c r="A156" s="128"/>
      <c r="B156" s="128"/>
      <c r="C156" s="124"/>
      <c r="D156" s="124"/>
      <c r="F156"/>
      <c r="H156"/>
      <c r="J156"/>
    </row>
    <row r="157" spans="1:10" ht="15.75" x14ac:dyDescent="0.2">
      <c r="A157" s="128"/>
      <c r="B157" s="128"/>
      <c r="C157" s="124"/>
      <c r="D157" s="124"/>
      <c r="F157"/>
      <c r="H157"/>
      <c r="J157"/>
    </row>
    <row r="158" spans="1:10" ht="15.75" x14ac:dyDescent="0.2">
      <c r="A158" s="128"/>
      <c r="B158" s="128"/>
      <c r="C158" s="124"/>
      <c r="D158" s="124"/>
      <c r="F158"/>
      <c r="H158"/>
      <c r="J158"/>
    </row>
    <row r="159" spans="1:10" ht="15.75" x14ac:dyDescent="0.2">
      <c r="A159" s="128"/>
      <c r="B159" s="128"/>
      <c r="C159" s="124"/>
      <c r="D159" s="124"/>
      <c r="F159"/>
      <c r="H159"/>
      <c r="J159"/>
    </row>
    <row r="160" spans="1:10" ht="15.75" x14ac:dyDescent="0.2">
      <c r="A160" s="128"/>
      <c r="B160" s="128"/>
      <c r="C160" s="124"/>
      <c r="D160" s="124"/>
      <c r="F160"/>
      <c r="H160"/>
      <c r="J160"/>
    </row>
    <row r="161" spans="1:10" ht="15.75" x14ac:dyDescent="0.2">
      <c r="A161" s="128"/>
      <c r="B161" s="128"/>
      <c r="C161" s="124"/>
      <c r="D161" s="124"/>
      <c r="F161"/>
      <c r="H161"/>
      <c r="J161"/>
    </row>
    <row r="162" spans="1:10" ht="15.75" x14ac:dyDescent="0.2">
      <c r="A162" s="128"/>
      <c r="B162" s="128"/>
      <c r="C162" s="124"/>
      <c r="D162" s="124"/>
      <c r="F162"/>
      <c r="H162"/>
      <c r="J162"/>
    </row>
    <row r="163" spans="1:10" ht="15.75" x14ac:dyDescent="0.2">
      <c r="A163" s="128"/>
      <c r="B163" s="128"/>
      <c r="C163" s="124"/>
      <c r="D163" s="124"/>
      <c r="F163"/>
      <c r="H163"/>
      <c r="J163"/>
    </row>
    <row r="164" spans="1:10" ht="15.75" x14ac:dyDescent="0.2">
      <c r="A164" s="128"/>
      <c r="B164" s="128"/>
      <c r="C164" s="124"/>
      <c r="D164" s="124"/>
      <c r="F164"/>
      <c r="H164"/>
      <c r="J164"/>
    </row>
    <row r="165" spans="1:10" ht="15.75" x14ac:dyDescent="0.2">
      <c r="A165" s="128"/>
      <c r="B165" s="128"/>
      <c r="C165" s="124"/>
      <c r="D165" s="124"/>
      <c r="F165"/>
      <c r="H165"/>
      <c r="J165"/>
    </row>
    <row r="166" spans="1:10" ht="15.75" x14ac:dyDescent="0.2">
      <c r="A166" s="128"/>
      <c r="B166" s="128"/>
      <c r="C166" s="124"/>
      <c r="D166" s="124"/>
      <c r="F166"/>
      <c r="H166"/>
      <c r="J166"/>
    </row>
    <row r="167" spans="1:10" ht="15.75" x14ac:dyDescent="0.2">
      <c r="A167" s="128"/>
      <c r="B167" s="127"/>
      <c r="C167" s="124"/>
      <c r="D167" s="124"/>
      <c r="F167"/>
      <c r="H167"/>
      <c r="J167"/>
    </row>
    <row r="168" spans="1:10" ht="15.75" x14ac:dyDescent="0.2">
      <c r="A168" s="128"/>
      <c r="B168" s="128"/>
      <c r="C168" s="124"/>
      <c r="D168" s="124"/>
      <c r="F168"/>
      <c r="H168"/>
      <c r="J168"/>
    </row>
    <row r="169" spans="1:10" ht="15.75" x14ac:dyDescent="0.2">
      <c r="A169" s="128"/>
      <c r="B169" s="128"/>
      <c r="C169" s="124"/>
      <c r="D169" s="124"/>
      <c r="F169"/>
      <c r="H169"/>
      <c r="J169"/>
    </row>
    <row r="170" spans="1:10" ht="15.75" x14ac:dyDescent="0.2">
      <c r="A170" s="128"/>
      <c r="B170" s="128"/>
      <c r="C170" s="124"/>
      <c r="D170" s="124"/>
      <c r="F170"/>
      <c r="H170"/>
      <c r="J170"/>
    </row>
    <row r="171" spans="1:10" ht="15.75" x14ac:dyDescent="0.2">
      <c r="A171" s="128"/>
      <c r="B171" s="128"/>
      <c r="C171" s="124"/>
      <c r="D171" s="124"/>
      <c r="F171"/>
      <c r="H171"/>
      <c r="J171"/>
    </row>
    <row r="172" spans="1:10" ht="15.75" x14ac:dyDescent="0.2">
      <c r="A172" s="128"/>
      <c r="B172" s="128"/>
      <c r="C172" s="124"/>
      <c r="D172" s="124"/>
      <c r="F172"/>
      <c r="H172"/>
      <c r="J172"/>
    </row>
    <row r="173" spans="1:10" ht="15.75" x14ac:dyDescent="0.2">
      <c r="A173" s="128"/>
      <c r="B173" s="128"/>
      <c r="C173" s="124"/>
      <c r="D173" s="124"/>
      <c r="F173"/>
      <c r="H173"/>
      <c r="J173"/>
    </row>
    <row r="174" spans="1:10" ht="15.75" x14ac:dyDescent="0.2">
      <c r="A174" s="128"/>
      <c r="B174" s="128"/>
      <c r="C174" s="124"/>
      <c r="D174" s="124"/>
      <c r="F174"/>
      <c r="H174"/>
      <c r="J174"/>
    </row>
    <row r="175" spans="1:10" ht="15.75" x14ac:dyDescent="0.2">
      <c r="A175" s="128"/>
      <c r="B175" s="128"/>
      <c r="C175" s="124"/>
      <c r="D175" s="124"/>
      <c r="F175"/>
      <c r="H175"/>
      <c r="J175"/>
    </row>
    <row r="176" spans="1:10" ht="15.75" x14ac:dyDescent="0.2">
      <c r="A176" s="128"/>
      <c r="B176" s="128"/>
      <c r="C176" s="124"/>
      <c r="D176" s="124"/>
      <c r="F176"/>
      <c r="H176"/>
      <c r="J176"/>
    </row>
    <row r="177" spans="1:10" ht="15.75" x14ac:dyDescent="0.2">
      <c r="A177" s="128"/>
      <c r="B177" s="128"/>
      <c r="C177" s="124"/>
      <c r="D177" s="124"/>
      <c r="F177"/>
      <c r="H177"/>
      <c r="J177"/>
    </row>
    <row r="178" spans="1:10" ht="15.75" x14ac:dyDescent="0.2">
      <c r="A178" s="128"/>
      <c r="B178" s="125"/>
      <c r="C178" s="124"/>
      <c r="D178" s="124"/>
      <c r="F178"/>
      <c r="H178"/>
      <c r="J178"/>
    </row>
  </sheetData>
  <mergeCells count="4">
    <mergeCell ref="A24:B24"/>
    <mergeCell ref="D24:H24"/>
    <mergeCell ref="J24:N24"/>
    <mergeCell ref="A104:B10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178"/>
  <sheetViews>
    <sheetView topLeftCell="A4" workbookViewId="0">
      <pane ySplit="28" topLeftCell="A72" activePane="bottomLeft" state="frozen"/>
      <selection activeCell="A4" sqref="A4"/>
      <selection pane="bottomLeft" activeCell="A78" sqref="A78:XFD78"/>
    </sheetView>
  </sheetViews>
  <sheetFormatPr defaultRowHeight="12.75" x14ac:dyDescent="0.2"/>
  <cols>
    <col min="1" max="2" width="12" style="67" customWidth="1"/>
    <col min="3" max="3" width="2.7109375" customWidth="1"/>
    <col min="4" max="4" width="12" style="68" customWidth="1"/>
    <col min="5" max="5" width="2.7109375" customWidth="1"/>
    <col min="6" max="6" width="12" style="69" customWidth="1"/>
    <col min="7" max="7" width="2.7109375" customWidth="1"/>
    <col min="8" max="8" width="12" style="69" customWidth="1"/>
    <col min="9" max="9" width="2.7109375" customWidth="1"/>
    <col min="10" max="10" width="12" style="68" customWidth="1"/>
    <col min="11" max="11" width="2.7109375" customWidth="1"/>
    <col min="12" max="12" width="12" customWidth="1"/>
    <col min="13" max="13" width="2.7109375" customWidth="1"/>
    <col min="14" max="14" width="12" customWidth="1"/>
  </cols>
  <sheetData>
    <row r="1" spans="1:14" ht="19.5" x14ac:dyDescent="0.25">
      <c r="A1" s="64" t="s">
        <v>24</v>
      </c>
      <c r="B1"/>
      <c r="D1"/>
      <c r="F1"/>
      <c r="H1"/>
      <c r="J1"/>
    </row>
    <row r="2" spans="1:14" x14ac:dyDescent="0.2">
      <c r="A2" t="s">
        <v>25</v>
      </c>
      <c r="B2"/>
      <c r="D2"/>
      <c r="F2"/>
      <c r="H2"/>
      <c r="J2"/>
    </row>
    <row r="3" spans="1:14" x14ac:dyDescent="0.2">
      <c r="A3"/>
      <c r="B3"/>
      <c r="D3"/>
      <c r="F3"/>
      <c r="H3"/>
      <c r="J3"/>
    </row>
    <row r="4" spans="1:14" x14ac:dyDescent="0.2">
      <c r="A4">
        <v>1</v>
      </c>
      <c r="B4">
        <v>2</v>
      </c>
      <c r="C4">
        <v>3</v>
      </c>
      <c r="D4">
        <v>4</v>
      </c>
      <c r="E4">
        <v>5</v>
      </c>
      <c r="F4">
        <v>6</v>
      </c>
      <c r="G4">
        <v>7</v>
      </c>
      <c r="H4">
        <v>8</v>
      </c>
      <c r="I4">
        <v>9</v>
      </c>
      <c r="J4">
        <v>10</v>
      </c>
      <c r="K4">
        <v>11</v>
      </c>
      <c r="L4">
        <v>12</v>
      </c>
      <c r="M4">
        <v>13</v>
      </c>
      <c r="N4">
        <v>14</v>
      </c>
    </row>
    <row r="5" spans="1:14" ht="14.25" x14ac:dyDescent="0.2">
      <c r="A5" s="65" t="s">
        <v>26</v>
      </c>
      <c r="B5"/>
      <c r="D5"/>
      <c r="F5"/>
      <c r="H5"/>
      <c r="J5"/>
    </row>
    <row r="6" spans="1:14" x14ac:dyDescent="0.2">
      <c r="A6"/>
      <c r="B6"/>
      <c r="D6"/>
      <c r="F6"/>
      <c r="H6"/>
      <c r="J6"/>
    </row>
    <row r="7" spans="1:14" ht="15" x14ac:dyDescent="0.2">
      <c r="A7" s="66" t="s">
        <v>27</v>
      </c>
      <c r="B7" t="s">
        <v>28</v>
      </c>
      <c r="D7"/>
      <c r="F7"/>
      <c r="H7"/>
      <c r="J7"/>
    </row>
    <row r="8" spans="1:14" ht="15" x14ac:dyDescent="0.2">
      <c r="A8" s="66" t="s">
        <v>29</v>
      </c>
      <c r="B8" t="s">
        <v>30</v>
      </c>
      <c r="D8"/>
      <c r="F8"/>
      <c r="H8"/>
      <c r="J8"/>
    </row>
    <row r="9" spans="1:14" ht="15" x14ac:dyDescent="0.2">
      <c r="A9" s="66"/>
      <c r="B9" t="s">
        <v>31</v>
      </c>
      <c r="D9"/>
      <c r="F9"/>
      <c r="H9"/>
      <c r="J9"/>
    </row>
    <row r="10" spans="1:14" ht="15" x14ac:dyDescent="0.2">
      <c r="A10" s="66"/>
      <c r="B10" t="s">
        <v>32</v>
      </c>
      <c r="D10"/>
      <c r="F10"/>
      <c r="H10"/>
      <c r="J10"/>
    </row>
    <row r="11" spans="1:14" ht="15" x14ac:dyDescent="0.2">
      <c r="A11" s="66"/>
      <c r="B11" t="s">
        <v>131</v>
      </c>
      <c r="D11"/>
      <c r="F11"/>
      <c r="H11"/>
      <c r="J11"/>
    </row>
    <row r="12" spans="1:14" ht="15" x14ac:dyDescent="0.2">
      <c r="A12" s="66" t="s">
        <v>33</v>
      </c>
      <c r="B12" t="s">
        <v>34</v>
      </c>
      <c r="D12"/>
      <c r="F12"/>
      <c r="H12"/>
      <c r="J12"/>
    </row>
    <row r="13" spans="1:14" x14ac:dyDescent="0.2">
      <c r="A13"/>
      <c r="B13" t="s">
        <v>31</v>
      </c>
      <c r="D13"/>
      <c r="F13"/>
      <c r="H13"/>
      <c r="J13"/>
    </row>
    <row r="14" spans="1:14" x14ac:dyDescent="0.2">
      <c r="A14"/>
      <c r="B14" t="s">
        <v>32</v>
      </c>
      <c r="D14"/>
      <c r="F14"/>
      <c r="H14"/>
      <c r="J14"/>
    </row>
    <row r="15" spans="1:14" x14ac:dyDescent="0.2">
      <c r="A15"/>
      <c r="B15" t="s">
        <v>131</v>
      </c>
      <c r="D15"/>
      <c r="F15"/>
      <c r="H15"/>
      <c r="J15"/>
    </row>
    <row r="16" spans="1:14" x14ac:dyDescent="0.2">
      <c r="A16"/>
      <c r="B16"/>
      <c r="D16"/>
      <c r="F16"/>
      <c r="H16"/>
      <c r="J16"/>
    </row>
    <row r="17" spans="1:14" x14ac:dyDescent="0.2">
      <c r="A17"/>
      <c r="B17"/>
      <c r="D17"/>
      <c r="F17"/>
      <c r="H17"/>
      <c r="J17"/>
    </row>
    <row r="18" spans="1:14" x14ac:dyDescent="0.2">
      <c r="F18" s="69" t="s">
        <v>35</v>
      </c>
      <c r="J18" s="70"/>
    </row>
    <row r="19" spans="1:14" x14ac:dyDescent="0.2">
      <c r="A19" s="69" t="s">
        <v>36</v>
      </c>
      <c r="D19" s="69">
        <f>+'Tabel 2026 52 weken'!$D$19</f>
        <v>11.23</v>
      </c>
      <c r="F19" s="178">
        <f>IF(F28-D19&gt;0,F28-D19,0)</f>
        <v>0</v>
      </c>
      <c r="L19" s="71"/>
      <c r="N19" s="69"/>
    </row>
    <row r="20" spans="1:14" x14ac:dyDescent="0.2">
      <c r="A20" s="69" t="s">
        <v>37</v>
      </c>
      <c r="D20" s="69">
        <f>+'Tabel 2026 52 weken'!$D$20</f>
        <v>9.98</v>
      </c>
      <c r="F20" s="178">
        <f>IF(H28-D20&gt;0,H28-D20,0)</f>
        <v>1.1399999999999988</v>
      </c>
      <c r="N20" s="69"/>
    </row>
    <row r="21" spans="1:14" x14ac:dyDescent="0.2">
      <c r="A21" s="69"/>
      <c r="D21" s="69"/>
      <c r="N21" s="69"/>
    </row>
    <row r="22" spans="1:14" x14ac:dyDescent="0.2">
      <c r="A22" s="69"/>
      <c r="D22" s="69"/>
      <c r="N22" s="69"/>
    </row>
    <row r="23" spans="1:14" x14ac:dyDescent="0.2">
      <c r="A23" s="69"/>
      <c r="D23" s="69"/>
      <c r="G23" s="69"/>
      <c r="N23" s="69"/>
    </row>
    <row r="24" spans="1:14" ht="15" x14ac:dyDescent="0.2">
      <c r="A24" s="315" t="s">
        <v>38</v>
      </c>
      <c r="B24" s="315"/>
      <c r="D24" s="312" t="s">
        <v>39</v>
      </c>
      <c r="E24" s="312"/>
      <c r="F24" s="312"/>
      <c r="G24" s="312"/>
      <c r="H24" s="312"/>
      <c r="I24" s="72"/>
      <c r="J24" s="313" t="s">
        <v>40</v>
      </c>
      <c r="K24" s="313"/>
      <c r="L24" s="313"/>
      <c r="M24" s="313"/>
      <c r="N24" s="313"/>
    </row>
    <row r="25" spans="1:14" x14ac:dyDescent="0.2">
      <c r="A25" s="73" t="s">
        <v>41</v>
      </c>
      <c r="B25" s="73"/>
      <c r="D25" s="179" t="s">
        <v>42</v>
      </c>
      <c r="E25" s="74"/>
      <c r="F25" s="75"/>
      <c r="G25" s="74"/>
      <c r="H25" s="75"/>
      <c r="J25" s="180" t="s">
        <v>42</v>
      </c>
      <c r="K25" s="76"/>
      <c r="L25" s="76"/>
      <c r="M25" s="76"/>
      <c r="N25" s="76"/>
    </row>
    <row r="26" spans="1:14" x14ac:dyDescent="0.2">
      <c r="A26" s="73" t="s">
        <v>43</v>
      </c>
      <c r="B26" s="73"/>
      <c r="D26" s="179" t="s">
        <v>44</v>
      </c>
      <c r="E26" s="74"/>
      <c r="F26" s="77" t="s">
        <v>45</v>
      </c>
      <c r="G26" s="78"/>
      <c r="H26" s="77" t="s">
        <v>46</v>
      </c>
      <c r="J26" s="180" t="s">
        <v>44</v>
      </c>
      <c r="K26" s="76"/>
      <c r="L26" s="79" t="s">
        <v>47</v>
      </c>
      <c r="M26" s="76"/>
      <c r="N26" s="79" t="s">
        <v>48</v>
      </c>
    </row>
    <row r="27" spans="1:14" x14ac:dyDescent="0.2">
      <c r="A27" s="73"/>
      <c r="B27" s="73"/>
      <c r="D27" s="80"/>
      <c r="E27" s="74"/>
      <c r="F27" s="81" t="s">
        <v>50</v>
      </c>
      <c r="G27" s="82"/>
      <c r="H27" s="81" t="s">
        <v>51</v>
      </c>
      <c r="J27" s="83"/>
      <c r="K27" s="76"/>
      <c r="L27" s="84" t="s">
        <v>50</v>
      </c>
      <c r="M27" s="85"/>
      <c r="N27" s="84" t="s">
        <v>51</v>
      </c>
    </row>
    <row r="28" spans="1:14" x14ac:dyDescent="0.2">
      <c r="A28" s="73"/>
      <c r="B28" s="73"/>
      <c r="D28" s="80"/>
      <c r="E28" s="74"/>
      <c r="F28" s="75">
        <v>0</v>
      </c>
      <c r="G28" s="81"/>
      <c r="H28" s="177">
        <v>11.12</v>
      </c>
      <c r="J28" s="83"/>
      <c r="K28" s="76"/>
      <c r="L28" s="86">
        <f>F28</f>
        <v>0</v>
      </c>
      <c r="M28" s="76"/>
      <c r="N28" s="86">
        <f>H28</f>
        <v>11.12</v>
      </c>
    </row>
    <row r="29" spans="1:14" ht="13.5" thickBot="1" x14ac:dyDescent="0.25">
      <c r="A29" s="73"/>
      <c r="B29" s="73"/>
      <c r="D29" s="80"/>
      <c r="E29" s="74"/>
      <c r="F29" s="75"/>
      <c r="G29" s="74"/>
      <c r="H29" s="75"/>
      <c r="J29" s="83"/>
      <c r="K29" s="76"/>
      <c r="L29" s="76"/>
      <c r="M29" s="76"/>
      <c r="N29" s="76"/>
    </row>
    <row r="30" spans="1:14" x14ac:dyDescent="0.2">
      <c r="A30" s="87" t="s">
        <v>2</v>
      </c>
      <c r="B30" s="87" t="s">
        <v>3</v>
      </c>
      <c r="D30" s="181" t="s">
        <v>52</v>
      </c>
      <c r="E30" s="74"/>
      <c r="F30" s="88" t="s">
        <v>53</v>
      </c>
      <c r="G30" s="74"/>
      <c r="H30" s="88" t="s">
        <v>53</v>
      </c>
      <c r="J30" s="182" t="s">
        <v>54</v>
      </c>
      <c r="K30" s="76"/>
      <c r="L30" s="89" t="s">
        <v>53</v>
      </c>
      <c r="M30" s="76"/>
      <c r="N30" s="89" t="s">
        <v>53</v>
      </c>
    </row>
    <row r="31" spans="1:14" ht="13.5" thickBot="1" x14ac:dyDescent="0.25">
      <c r="A31" s="90"/>
      <c r="B31" s="90"/>
      <c r="D31" s="183" t="s">
        <v>55</v>
      </c>
      <c r="E31" s="74"/>
      <c r="F31" s="91" t="s">
        <v>56</v>
      </c>
      <c r="G31" s="74"/>
      <c r="H31" s="91" t="s">
        <v>56</v>
      </c>
      <c r="J31" s="184" t="s">
        <v>57</v>
      </c>
      <c r="K31" s="76"/>
      <c r="L31" s="92" t="s">
        <v>56</v>
      </c>
      <c r="M31" s="76"/>
      <c r="N31" s="92" t="s">
        <v>56</v>
      </c>
    </row>
    <row r="32" spans="1:14" x14ac:dyDescent="0.2">
      <c r="A32" s="73"/>
      <c r="B32" s="73"/>
      <c r="D32" s="80"/>
      <c r="E32" s="74"/>
      <c r="F32" s="75"/>
      <c r="G32" s="74"/>
      <c r="H32" s="75"/>
      <c r="J32" s="83"/>
      <c r="K32" s="76"/>
      <c r="L32" s="76"/>
      <c r="M32" s="76"/>
      <c r="N32" s="76"/>
    </row>
    <row r="33" spans="1:24" ht="15" x14ac:dyDescent="0.2">
      <c r="A33" s="194" t="str">
        <f>+'Tabel 2026 52 weken'!A33</f>
        <v>lager dan</v>
      </c>
      <c r="B33" s="194">
        <f>+'Tabel 2026 52 weken'!B33</f>
        <v>24149</v>
      </c>
      <c r="D33" s="131">
        <f>+'Tabel 2026 52 weken'!D33</f>
        <v>0.96</v>
      </c>
      <c r="E33" s="129"/>
      <c r="F33" s="221">
        <f>IF($D$19&gt;=$F$28,($F$28*(100%-D33))+($F$19),$D$19*(100%-D33)+$F$19)</f>
        <v>0</v>
      </c>
      <c r="G33" s="220"/>
      <c r="H33" s="221">
        <f>IF($D$20&gt;=$H$28,($H$28*(100%-D33))+($F$20),$D$20*(100%-D33)+($F$20))</f>
        <v>1.5391999999999992</v>
      </c>
      <c r="J33" s="132">
        <f>+'Tabel 2026 52 weken'!J33</f>
        <v>0.96</v>
      </c>
      <c r="K33" s="130"/>
      <c r="L33" s="223">
        <f>IF($D$19&gt;=$L$28,($L$28*(100%-J33))+(F$19),$D$19*(100%-J33)+$F$19)</f>
        <v>0</v>
      </c>
      <c r="M33" s="222"/>
      <c r="N33" s="223">
        <f>IF($D$20&gt;=$H$28,($H$28*(100%-J33))+($F$20),$D$20*(100%-J33)+($F$20))</f>
        <v>1.5391999999999992</v>
      </c>
      <c r="P33" s="185"/>
    </row>
    <row r="34" spans="1:24" ht="15" x14ac:dyDescent="0.2">
      <c r="A34" s="194">
        <f>+'Tabel 2026 52 weken'!A34</f>
        <v>24150</v>
      </c>
      <c r="B34" s="194">
        <f>+'Tabel 2026 52 weken'!B34</f>
        <v>25756</v>
      </c>
      <c r="D34" s="131">
        <f>+'Tabel 2026 52 weken'!D34</f>
        <v>0.96</v>
      </c>
      <c r="E34" s="129"/>
      <c r="F34" s="221">
        <f t="shared" ref="F34:F97" si="0">IF($D$19&gt;=$F$28,($F$28*(100%-D34))+($F$19),$D$19*(100%-D34)+$F$19)</f>
        <v>0</v>
      </c>
      <c r="G34" s="220"/>
      <c r="H34" s="221">
        <f t="shared" ref="H34:H97" si="1">IF($D$20&gt;=$H$28,($H$28*(100%-D34))+($F$20),$D$20*(100%-D34)+($F$20))</f>
        <v>1.5391999999999992</v>
      </c>
      <c r="J34" s="132">
        <f>+'Tabel 2026 52 weken'!J34</f>
        <v>0.96</v>
      </c>
      <c r="K34" s="130"/>
      <c r="L34" s="223">
        <f t="shared" ref="L34:L97" si="2">IF($D$19&gt;=$L$28,($L$28*(100%-J34))+(F$19),$D$19*(100%-J34)+$F$19)</f>
        <v>0</v>
      </c>
      <c r="M34" s="222"/>
      <c r="N34" s="223">
        <f t="shared" ref="N34:N97" si="3">IF($D$20&gt;=$H$28,($H$28*(100%-J34))+($F$20),$D$20*(100%-J34)+($F$20))</f>
        <v>1.5391999999999992</v>
      </c>
    </row>
    <row r="35" spans="1:24" ht="15" x14ac:dyDescent="0.2">
      <c r="A35" s="194">
        <f>+'Tabel 2026 52 weken'!A35</f>
        <v>25757</v>
      </c>
      <c r="B35" s="194">
        <f>+'Tabel 2026 52 weken'!B35</f>
        <v>27363</v>
      </c>
      <c r="D35" s="131">
        <f>+'Tabel 2026 52 weken'!D35</f>
        <v>0.96</v>
      </c>
      <c r="E35" s="129"/>
      <c r="F35" s="221">
        <f t="shared" si="0"/>
        <v>0</v>
      </c>
      <c r="G35" s="220"/>
      <c r="H35" s="221">
        <f t="shared" si="1"/>
        <v>1.5391999999999992</v>
      </c>
      <c r="J35" s="132">
        <f>+'Tabel 2026 52 weken'!J35</f>
        <v>0.96</v>
      </c>
      <c r="K35" s="130"/>
      <c r="L35" s="223">
        <f t="shared" si="2"/>
        <v>0</v>
      </c>
      <c r="M35" s="222"/>
      <c r="N35" s="223">
        <f t="shared" si="3"/>
        <v>1.5391999999999992</v>
      </c>
      <c r="R35" s="93"/>
    </row>
    <row r="36" spans="1:24" ht="15" x14ac:dyDescent="0.2">
      <c r="A36" s="194">
        <f>+'Tabel 2026 52 weken'!A36</f>
        <v>27364</v>
      </c>
      <c r="B36" s="194">
        <f>+'Tabel 2026 52 weken'!B36</f>
        <v>28973</v>
      </c>
      <c r="D36" s="131">
        <f>+'Tabel 2026 52 weken'!D36</f>
        <v>0.96</v>
      </c>
      <c r="E36" s="129"/>
      <c r="F36" s="221">
        <f t="shared" si="0"/>
        <v>0</v>
      </c>
      <c r="G36" s="220"/>
      <c r="H36" s="221">
        <f t="shared" si="1"/>
        <v>1.5391999999999992</v>
      </c>
      <c r="J36" s="132">
        <f>+'Tabel 2026 52 weken'!J36</f>
        <v>0.96</v>
      </c>
      <c r="K36" s="130"/>
      <c r="L36" s="223">
        <f t="shared" si="2"/>
        <v>0</v>
      </c>
      <c r="M36" s="222"/>
      <c r="N36" s="223">
        <f t="shared" si="3"/>
        <v>1.5391999999999992</v>
      </c>
    </row>
    <row r="37" spans="1:24" ht="15" x14ac:dyDescent="0.2">
      <c r="A37" s="194">
        <f>+'Tabel 2026 52 weken'!A37</f>
        <v>28974</v>
      </c>
      <c r="B37" s="194">
        <f>+'Tabel 2026 52 weken'!B37</f>
        <v>30579</v>
      </c>
      <c r="D37" s="131">
        <f>+'Tabel 2026 52 weken'!D37</f>
        <v>0.96</v>
      </c>
      <c r="E37" s="129"/>
      <c r="F37" s="221">
        <f t="shared" si="0"/>
        <v>0</v>
      </c>
      <c r="G37" s="220"/>
      <c r="H37" s="221">
        <f t="shared" si="1"/>
        <v>1.5391999999999992</v>
      </c>
      <c r="J37" s="132">
        <f>+'Tabel 2026 52 weken'!J37</f>
        <v>0.96</v>
      </c>
      <c r="K37" s="130"/>
      <c r="L37" s="223">
        <f t="shared" si="2"/>
        <v>0</v>
      </c>
      <c r="M37" s="222"/>
      <c r="N37" s="223">
        <f t="shared" si="3"/>
        <v>1.5391999999999992</v>
      </c>
    </row>
    <row r="38" spans="1:24" ht="15" x14ac:dyDescent="0.2">
      <c r="A38" s="194">
        <f>+'Tabel 2026 52 weken'!A38</f>
        <v>30580</v>
      </c>
      <c r="B38" s="194">
        <f>+'Tabel 2026 52 weken'!B38</f>
        <v>32189</v>
      </c>
      <c r="D38" s="131">
        <f>+'Tabel 2026 52 weken'!D38</f>
        <v>0.96</v>
      </c>
      <c r="E38" s="129"/>
      <c r="F38" s="221">
        <f t="shared" si="0"/>
        <v>0</v>
      </c>
      <c r="G38" s="220"/>
      <c r="H38" s="221">
        <f t="shared" si="1"/>
        <v>1.5391999999999992</v>
      </c>
      <c r="J38" s="132">
        <f>+'Tabel 2026 52 weken'!J38</f>
        <v>0.96</v>
      </c>
      <c r="K38" s="130"/>
      <c r="L38" s="223">
        <f t="shared" si="2"/>
        <v>0</v>
      </c>
      <c r="M38" s="222"/>
      <c r="N38" s="223">
        <f t="shared" si="3"/>
        <v>1.5391999999999992</v>
      </c>
    </row>
    <row r="39" spans="1:24" ht="15" x14ac:dyDescent="0.2">
      <c r="A39" s="194">
        <f>+'Tabel 2026 52 weken'!A39</f>
        <v>32190</v>
      </c>
      <c r="B39" s="194">
        <f>+'Tabel 2026 52 weken'!B39</f>
        <v>33795</v>
      </c>
      <c r="D39" s="131">
        <f>+'Tabel 2026 52 weken'!D39</f>
        <v>0.96</v>
      </c>
      <c r="E39" s="129"/>
      <c r="F39" s="221">
        <f t="shared" si="0"/>
        <v>0</v>
      </c>
      <c r="G39" s="220"/>
      <c r="H39" s="221">
        <f t="shared" si="1"/>
        <v>1.5391999999999992</v>
      </c>
      <c r="J39" s="132">
        <f>+'Tabel 2026 52 weken'!J39</f>
        <v>0.96</v>
      </c>
      <c r="K39" s="130"/>
      <c r="L39" s="223">
        <f t="shared" si="2"/>
        <v>0</v>
      </c>
      <c r="M39" s="222"/>
      <c r="N39" s="223">
        <f t="shared" si="3"/>
        <v>1.5391999999999992</v>
      </c>
    </row>
    <row r="40" spans="1:24" ht="15" x14ac:dyDescent="0.2">
      <c r="A40" s="194">
        <f>+'Tabel 2026 52 weken'!A40</f>
        <v>33796</v>
      </c>
      <c r="B40" s="194">
        <f>+'Tabel 2026 52 weken'!B40</f>
        <v>35400</v>
      </c>
      <c r="D40" s="131">
        <f>+'Tabel 2026 52 weken'!D40</f>
        <v>0.96</v>
      </c>
      <c r="E40" s="129"/>
      <c r="F40" s="221">
        <f t="shared" si="0"/>
        <v>0</v>
      </c>
      <c r="G40" s="220"/>
      <c r="H40" s="221">
        <f t="shared" si="1"/>
        <v>1.5391999999999992</v>
      </c>
      <c r="J40" s="132">
        <f>+'Tabel 2026 52 weken'!J40</f>
        <v>0.96</v>
      </c>
      <c r="K40" s="130"/>
      <c r="L40" s="223">
        <f t="shared" si="2"/>
        <v>0</v>
      </c>
      <c r="M40" s="222"/>
      <c r="N40" s="223">
        <f t="shared" si="3"/>
        <v>1.5391999999999992</v>
      </c>
    </row>
    <row r="41" spans="1:24" ht="15" x14ac:dyDescent="0.2">
      <c r="A41" s="194">
        <f>+'Tabel 2026 52 weken'!A41</f>
        <v>35401</v>
      </c>
      <c r="B41" s="194">
        <f>+'Tabel 2026 52 weken'!B41</f>
        <v>37129</v>
      </c>
      <c r="D41" s="131">
        <f>+'Tabel 2026 52 weken'!D41</f>
        <v>0.96</v>
      </c>
      <c r="E41" s="129"/>
      <c r="F41" s="221">
        <f t="shared" si="0"/>
        <v>0</v>
      </c>
      <c r="G41" s="220"/>
      <c r="H41" s="221">
        <f t="shared" si="1"/>
        <v>1.5391999999999992</v>
      </c>
      <c r="J41" s="132">
        <f>+'Tabel 2026 52 weken'!J41</f>
        <v>0.96</v>
      </c>
      <c r="K41" s="130"/>
      <c r="L41" s="223">
        <f t="shared" si="2"/>
        <v>0</v>
      </c>
      <c r="M41" s="222"/>
      <c r="N41" s="223">
        <f t="shared" si="3"/>
        <v>1.5391999999999992</v>
      </c>
    </row>
    <row r="42" spans="1:24" ht="15" x14ac:dyDescent="0.2">
      <c r="A42" s="194">
        <f>+'Tabel 2026 52 weken'!A42</f>
        <v>37130</v>
      </c>
      <c r="B42" s="194">
        <f>+'Tabel 2026 52 weken'!B42</f>
        <v>38855</v>
      </c>
      <c r="D42" s="131">
        <f>+'Tabel 2026 52 weken'!D42</f>
        <v>0.96</v>
      </c>
      <c r="E42" s="129"/>
      <c r="F42" s="221">
        <f t="shared" si="0"/>
        <v>0</v>
      </c>
      <c r="G42" s="220"/>
      <c r="H42" s="221">
        <f t="shared" si="1"/>
        <v>1.5391999999999992</v>
      </c>
      <c r="J42" s="132">
        <f>+'Tabel 2026 52 weken'!J42</f>
        <v>0.96</v>
      </c>
      <c r="K42" s="130"/>
      <c r="L42" s="223">
        <f t="shared" si="2"/>
        <v>0</v>
      </c>
      <c r="M42" s="222"/>
      <c r="N42" s="223">
        <f t="shared" si="3"/>
        <v>1.5391999999999992</v>
      </c>
    </row>
    <row r="43" spans="1:24" ht="15" x14ac:dyDescent="0.2">
      <c r="A43" s="194">
        <f>+'Tabel 2026 52 weken'!A43</f>
        <v>38856</v>
      </c>
      <c r="B43" s="194">
        <f>+'Tabel 2026 52 weken'!B43</f>
        <v>40586</v>
      </c>
      <c r="D43" s="131">
        <f>+'Tabel 2026 52 weken'!D43</f>
        <v>0.96</v>
      </c>
      <c r="E43" s="129"/>
      <c r="F43" s="221">
        <f t="shared" si="0"/>
        <v>0</v>
      </c>
      <c r="G43" s="220"/>
      <c r="H43" s="221">
        <f t="shared" si="1"/>
        <v>1.5391999999999992</v>
      </c>
      <c r="J43" s="132">
        <f>+'Tabel 2026 52 weken'!J43</f>
        <v>0.96</v>
      </c>
      <c r="K43" s="130"/>
      <c r="L43" s="223">
        <f t="shared" si="2"/>
        <v>0</v>
      </c>
      <c r="M43" s="222"/>
      <c r="N43" s="223">
        <f t="shared" si="3"/>
        <v>1.5391999999999992</v>
      </c>
    </row>
    <row r="44" spans="1:24" ht="15" x14ac:dyDescent="0.2">
      <c r="A44" s="194">
        <f>+'Tabel 2026 52 weken'!A44</f>
        <v>40587</v>
      </c>
      <c r="B44" s="194">
        <f>+'Tabel 2026 52 weken'!B44</f>
        <v>42313</v>
      </c>
      <c r="D44" s="131">
        <f>+'Tabel 2026 52 weken'!D44</f>
        <v>0.96</v>
      </c>
      <c r="E44" s="129"/>
      <c r="F44" s="221">
        <f t="shared" si="0"/>
        <v>0</v>
      </c>
      <c r="G44" s="220"/>
      <c r="H44" s="221">
        <f t="shared" si="1"/>
        <v>1.5391999999999992</v>
      </c>
      <c r="J44" s="132">
        <f>+'Tabel 2026 52 weken'!J44</f>
        <v>0.96</v>
      </c>
      <c r="K44" s="130"/>
      <c r="L44" s="223">
        <f t="shared" si="2"/>
        <v>0</v>
      </c>
      <c r="M44" s="222"/>
      <c r="N44" s="223">
        <f t="shared" si="3"/>
        <v>1.5391999999999992</v>
      </c>
    </row>
    <row r="45" spans="1:24" ht="15" x14ac:dyDescent="0.2">
      <c r="A45" s="194">
        <f>+'Tabel 2026 52 weken'!A45</f>
        <v>42314</v>
      </c>
      <c r="B45" s="194">
        <f>+'Tabel 2026 52 weken'!B45</f>
        <v>44046</v>
      </c>
      <c r="D45" s="131">
        <f>+'Tabel 2026 52 weken'!D45</f>
        <v>0.96</v>
      </c>
      <c r="E45" s="129"/>
      <c r="F45" s="221">
        <f t="shared" si="0"/>
        <v>0</v>
      </c>
      <c r="G45" s="220"/>
      <c r="H45" s="221">
        <f t="shared" si="1"/>
        <v>1.5391999999999992</v>
      </c>
      <c r="J45" s="132">
        <f>+'Tabel 2026 52 weken'!J45</f>
        <v>0.96</v>
      </c>
      <c r="K45" s="130"/>
      <c r="L45" s="223">
        <f t="shared" si="2"/>
        <v>0</v>
      </c>
      <c r="M45" s="222"/>
      <c r="N45" s="223">
        <f t="shared" si="3"/>
        <v>1.5391999999999992</v>
      </c>
      <c r="R45" t="s">
        <v>59</v>
      </c>
      <c r="S45" t="s">
        <v>59</v>
      </c>
      <c r="T45" t="s">
        <v>59</v>
      </c>
      <c r="U45" t="s">
        <v>60</v>
      </c>
      <c r="V45" t="s">
        <v>53</v>
      </c>
    </row>
    <row r="46" spans="1:24" ht="15" x14ac:dyDescent="0.2">
      <c r="A46" s="194">
        <f>+'Tabel 2026 52 weken'!A46</f>
        <v>44047</v>
      </c>
      <c r="B46" s="194">
        <f>+'Tabel 2026 52 weken'!B46</f>
        <v>45776</v>
      </c>
      <c r="D46" s="131">
        <f>+'Tabel 2026 52 weken'!D46</f>
        <v>0.96</v>
      </c>
      <c r="E46" s="129"/>
      <c r="F46" s="221">
        <f t="shared" si="0"/>
        <v>0</v>
      </c>
      <c r="G46" s="220"/>
      <c r="H46" s="221">
        <f t="shared" si="1"/>
        <v>1.5391999999999992</v>
      </c>
      <c r="J46" s="132">
        <f>+'Tabel 2026 52 weken'!J46</f>
        <v>0.96</v>
      </c>
      <c r="K46" s="130"/>
      <c r="L46" s="223">
        <f t="shared" si="2"/>
        <v>0</v>
      </c>
      <c r="M46" s="222"/>
      <c r="N46" s="223">
        <f t="shared" si="3"/>
        <v>1.5391999999999992</v>
      </c>
      <c r="Q46">
        <f>26</f>
        <v>26</v>
      </c>
      <c r="R46">
        <f>Q46*3*2</f>
        <v>156</v>
      </c>
      <c r="S46">
        <f>4*7.5*2</f>
        <v>60</v>
      </c>
      <c r="T46">
        <f>R46+S46</f>
        <v>216</v>
      </c>
      <c r="U46">
        <f>T46*6.28</f>
        <v>1356.48</v>
      </c>
      <c r="V46" s="94">
        <f>T46*5.93*(100%-D46)+((6.28-5.93)*T46)</f>
        <v>126.83520000000016</v>
      </c>
      <c r="W46" s="186">
        <v>0.5</v>
      </c>
      <c r="X46" t="s">
        <v>61</v>
      </c>
    </row>
    <row r="47" spans="1:24" ht="15" x14ac:dyDescent="0.2">
      <c r="A47" s="194">
        <f>+'Tabel 2026 52 weken'!A47</f>
        <v>45777</v>
      </c>
      <c r="B47" s="194">
        <f>+'Tabel 2026 52 weken'!B47</f>
        <v>47546</v>
      </c>
      <c r="D47" s="131">
        <f>+'Tabel 2026 52 weken'!D47</f>
        <v>0.96</v>
      </c>
      <c r="E47" s="129"/>
      <c r="F47" s="221">
        <f t="shared" si="0"/>
        <v>0</v>
      </c>
      <c r="G47" s="220"/>
      <c r="H47" s="221">
        <f t="shared" si="1"/>
        <v>1.5391999999999992</v>
      </c>
      <c r="J47" s="132">
        <f>+'Tabel 2026 52 weken'!J47</f>
        <v>0.96</v>
      </c>
      <c r="K47" s="130"/>
      <c r="L47" s="223">
        <f t="shared" si="2"/>
        <v>0</v>
      </c>
      <c r="M47" s="222"/>
      <c r="N47" s="223">
        <f t="shared" si="3"/>
        <v>1.5391999999999992</v>
      </c>
      <c r="V47" s="94">
        <f>T46*5.93*(100%-D46)+((W47-5.93)*T46)</f>
        <v>234.83520000000016</v>
      </c>
      <c r="W47">
        <f>6.28+W46</f>
        <v>6.78</v>
      </c>
    </row>
    <row r="48" spans="1:24" ht="15" x14ac:dyDescent="0.2">
      <c r="A48" s="194">
        <f>+'Tabel 2026 52 weken'!A48</f>
        <v>47547</v>
      </c>
      <c r="B48" s="194">
        <f>+'Tabel 2026 52 weken'!B48</f>
        <v>49318</v>
      </c>
      <c r="D48" s="131">
        <f>+'Tabel 2026 52 weken'!D48</f>
        <v>0.96</v>
      </c>
      <c r="E48" s="129"/>
      <c r="F48" s="221">
        <f t="shared" si="0"/>
        <v>0</v>
      </c>
      <c r="G48" s="220"/>
      <c r="H48" s="221">
        <f t="shared" si="1"/>
        <v>1.5391999999999992</v>
      </c>
      <c r="J48" s="132">
        <f>+'Tabel 2026 52 weken'!J48</f>
        <v>0.96</v>
      </c>
      <c r="K48" s="130"/>
      <c r="L48" s="223">
        <f t="shared" si="2"/>
        <v>0</v>
      </c>
      <c r="M48" s="222"/>
      <c r="N48" s="223">
        <f t="shared" si="3"/>
        <v>1.5391999999999992</v>
      </c>
      <c r="T48">
        <f>1350/5/2*2</f>
        <v>270</v>
      </c>
      <c r="U48">
        <f>T48*6.28</f>
        <v>1695.6000000000001</v>
      </c>
      <c r="V48" s="94">
        <f>T48*5.93*(100%-D46)+((6.28-5.93)*T48)</f>
        <v>158.54400000000021</v>
      </c>
    </row>
    <row r="49" spans="1:16" ht="15" x14ac:dyDescent="0.2">
      <c r="A49" s="194">
        <f>+'Tabel 2026 52 weken'!A49</f>
        <v>49319</v>
      </c>
      <c r="B49" s="194">
        <f>+'Tabel 2026 52 weken'!B49</f>
        <v>51092</v>
      </c>
      <c r="D49" s="131">
        <f>+'Tabel 2026 52 weken'!D49</f>
        <v>0.96</v>
      </c>
      <c r="E49" s="129"/>
      <c r="F49" s="221">
        <f t="shared" si="0"/>
        <v>0</v>
      </c>
      <c r="G49" s="220"/>
      <c r="H49" s="221">
        <f t="shared" si="1"/>
        <v>1.5391999999999992</v>
      </c>
      <c r="J49" s="132">
        <f>+'Tabel 2026 52 weken'!J49</f>
        <v>0.96</v>
      </c>
      <c r="K49" s="130"/>
      <c r="L49" s="223">
        <f t="shared" si="2"/>
        <v>0</v>
      </c>
      <c r="M49" s="222"/>
      <c r="N49" s="223">
        <f t="shared" si="3"/>
        <v>1.5391999999999992</v>
      </c>
    </row>
    <row r="50" spans="1:16" ht="15" x14ac:dyDescent="0.2">
      <c r="A50" s="194">
        <f>+'Tabel 2026 52 weken'!A50</f>
        <v>51093</v>
      </c>
      <c r="B50" s="194">
        <f>+'Tabel 2026 52 weken'!B50</f>
        <v>52864</v>
      </c>
      <c r="D50" s="131">
        <f>+'Tabel 2026 52 weken'!D50</f>
        <v>0.96</v>
      </c>
      <c r="E50" s="129"/>
      <c r="F50" s="221">
        <f t="shared" si="0"/>
        <v>0</v>
      </c>
      <c r="G50" s="220"/>
      <c r="H50" s="221">
        <f t="shared" si="1"/>
        <v>1.5391999999999992</v>
      </c>
      <c r="J50" s="132">
        <f>+'Tabel 2026 52 weken'!J50</f>
        <v>0.96</v>
      </c>
      <c r="K50" s="130"/>
      <c r="L50" s="223">
        <f t="shared" si="2"/>
        <v>0</v>
      </c>
      <c r="M50" s="222"/>
      <c r="N50" s="223">
        <f t="shared" si="3"/>
        <v>1.5391999999999992</v>
      </c>
    </row>
    <row r="51" spans="1:16" ht="15" x14ac:dyDescent="0.2">
      <c r="A51" s="194">
        <f>+'Tabel 2026 52 weken'!A51</f>
        <v>52865</v>
      </c>
      <c r="B51" s="194">
        <f>+'Tabel 2026 52 weken'!B51</f>
        <v>54641</v>
      </c>
      <c r="D51" s="131">
        <f>+'Tabel 2026 52 weken'!D51</f>
        <v>0.96</v>
      </c>
      <c r="E51" s="129"/>
      <c r="F51" s="221">
        <f t="shared" si="0"/>
        <v>0</v>
      </c>
      <c r="G51" s="220"/>
      <c r="H51" s="221">
        <f t="shared" si="1"/>
        <v>1.5391999999999992</v>
      </c>
      <c r="J51" s="132">
        <f>+'Tabel 2026 52 weken'!J51</f>
        <v>0.96</v>
      </c>
      <c r="K51" s="130"/>
      <c r="L51" s="223">
        <f t="shared" si="2"/>
        <v>0</v>
      </c>
      <c r="M51" s="222"/>
      <c r="N51" s="223">
        <f t="shared" si="3"/>
        <v>1.5391999999999992</v>
      </c>
    </row>
    <row r="52" spans="1:16" ht="15" x14ac:dyDescent="0.2">
      <c r="A52" s="194">
        <f>+'Tabel 2026 52 weken'!A52</f>
        <v>54642</v>
      </c>
      <c r="B52" s="194">
        <f>+'Tabel 2026 52 weken'!B52</f>
        <v>56412</v>
      </c>
      <c r="D52" s="131">
        <f>+'Tabel 2026 52 weken'!D52</f>
        <v>0.96</v>
      </c>
      <c r="E52" s="129"/>
      <c r="F52" s="221">
        <f t="shared" si="0"/>
        <v>0</v>
      </c>
      <c r="G52" s="220"/>
      <c r="H52" s="221">
        <f t="shared" si="1"/>
        <v>1.5391999999999992</v>
      </c>
      <c r="J52" s="132">
        <f>+'Tabel 2026 52 weken'!J52</f>
        <v>0.96</v>
      </c>
      <c r="K52" s="130"/>
      <c r="L52" s="223">
        <f t="shared" si="2"/>
        <v>0</v>
      </c>
      <c r="M52" s="222"/>
      <c r="N52" s="223">
        <f t="shared" si="3"/>
        <v>1.5391999999999992</v>
      </c>
    </row>
    <row r="53" spans="1:16" ht="15" x14ac:dyDescent="0.2">
      <c r="A53" s="194">
        <f>+'Tabel 2026 52 weken'!A53</f>
        <v>56413</v>
      </c>
      <c r="B53" s="194">
        <f>+'Tabel 2026 52 weken'!B53</f>
        <v>58184</v>
      </c>
      <c r="D53" s="131">
        <f>+'Tabel 2026 52 weken'!D53</f>
        <v>0.95499999999999996</v>
      </c>
      <c r="E53" s="129"/>
      <c r="F53" s="221">
        <f t="shared" si="0"/>
        <v>0</v>
      </c>
      <c r="G53" s="220"/>
      <c r="H53" s="221">
        <f t="shared" si="1"/>
        <v>1.5890999999999993</v>
      </c>
      <c r="J53" s="132">
        <f>+'Tabel 2026 52 weken'!J53</f>
        <v>0.95599999999999996</v>
      </c>
      <c r="K53" s="130"/>
      <c r="L53" s="223">
        <f t="shared" si="2"/>
        <v>0</v>
      </c>
      <c r="M53" s="222"/>
      <c r="N53" s="223">
        <f t="shared" si="3"/>
        <v>1.5791199999999992</v>
      </c>
    </row>
    <row r="54" spans="1:16" ht="15" x14ac:dyDescent="0.2">
      <c r="A54" s="194">
        <f>+'Tabel 2026 52 weken'!A54</f>
        <v>58185</v>
      </c>
      <c r="B54" s="194">
        <f>+'Tabel 2026 52 weken'!B54</f>
        <v>59957</v>
      </c>
      <c r="D54" s="131">
        <f>+'Tabel 2026 52 weken'!D54</f>
        <v>0.94799999999999995</v>
      </c>
      <c r="E54" s="129"/>
      <c r="F54" s="221">
        <f t="shared" si="0"/>
        <v>0</v>
      </c>
      <c r="G54" s="220"/>
      <c r="H54" s="221">
        <f t="shared" si="1"/>
        <v>1.6589599999999993</v>
      </c>
      <c r="J54" s="132">
        <f>+'Tabel 2026 52 weken'!J54</f>
        <v>0.95599999999999996</v>
      </c>
      <c r="K54" s="130"/>
      <c r="L54" s="223">
        <f t="shared" si="2"/>
        <v>0</v>
      </c>
      <c r="M54" s="222"/>
      <c r="N54" s="223">
        <f t="shared" si="3"/>
        <v>1.5791199999999992</v>
      </c>
    </row>
    <row r="55" spans="1:16" ht="15" x14ac:dyDescent="0.2">
      <c r="A55" s="194">
        <f>+'Tabel 2026 52 weken'!A55</f>
        <v>59958</v>
      </c>
      <c r="B55" s="194">
        <f>+'Tabel 2026 52 weken'!B55</f>
        <v>61895</v>
      </c>
      <c r="D55" s="131">
        <f>+'Tabel 2026 52 weken'!D55</f>
        <v>0.93899999999999995</v>
      </c>
      <c r="E55" s="129"/>
      <c r="F55" s="221">
        <f t="shared" si="0"/>
        <v>0</v>
      </c>
      <c r="G55" s="220"/>
      <c r="H55" s="221">
        <f t="shared" si="1"/>
        <v>1.7487799999999993</v>
      </c>
      <c r="J55" s="132">
        <f>+'Tabel 2026 52 weken'!J55</f>
        <v>0.95599999999999996</v>
      </c>
      <c r="K55" s="130"/>
      <c r="L55" s="223">
        <f t="shared" si="2"/>
        <v>0</v>
      </c>
      <c r="M55" s="222"/>
      <c r="N55" s="223">
        <f t="shared" si="3"/>
        <v>1.5791199999999992</v>
      </c>
    </row>
    <row r="56" spans="1:16" ht="15" x14ac:dyDescent="0.2">
      <c r="A56" s="194">
        <f>+'Tabel 2026 52 weken'!A56</f>
        <v>61896</v>
      </c>
      <c r="B56" s="194">
        <f>+'Tabel 2026 52 weken'!B56</f>
        <v>65695</v>
      </c>
      <c r="D56" s="131">
        <f>+'Tabel 2026 52 weken'!D56</f>
        <v>0.92400000000000004</v>
      </c>
      <c r="E56" s="129"/>
      <c r="F56" s="221">
        <f t="shared" si="0"/>
        <v>0</v>
      </c>
      <c r="G56" s="220"/>
      <c r="H56" s="221">
        <f t="shared" si="1"/>
        <v>1.8984799999999984</v>
      </c>
      <c r="J56" s="132">
        <f>+'Tabel 2026 52 weken'!J56</f>
        <v>0.95599999999999996</v>
      </c>
      <c r="K56" s="130"/>
      <c r="L56" s="223">
        <f t="shared" si="2"/>
        <v>0</v>
      </c>
      <c r="M56" s="222"/>
      <c r="N56" s="223">
        <f t="shared" si="3"/>
        <v>1.5791199999999992</v>
      </c>
    </row>
    <row r="57" spans="1:16" ht="15" x14ac:dyDescent="0.2">
      <c r="A57" s="194">
        <f>+'Tabel 2026 52 weken'!A57</f>
        <v>65696</v>
      </c>
      <c r="B57" s="194">
        <f>+'Tabel 2026 52 weken'!B57</f>
        <v>69492</v>
      </c>
      <c r="D57" s="131">
        <f>+'Tabel 2026 52 weken'!D57</f>
        <v>0.91600000000000004</v>
      </c>
      <c r="E57" s="129"/>
      <c r="F57" s="221">
        <f t="shared" si="0"/>
        <v>0</v>
      </c>
      <c r="G57" s="220"/>
      <c r="H57" s="221">
        <f t="shared" si="1"/>
        <v>1.9783199999999983</v>
      </c>
      <c r="J57" s="132">
        <f>+'Tabel 2026 52 weken'!J57</f>
        <v>0.95199999999999996</v>
      </c>
      <c r="K57" s="130"/>
      <c r="L57" s="223">
        <f t="shared" si="2"/>
        <v>0</v>
      </c>
      <c r="M57" s="222"/>
      <c r="N57" s="223">
        <f t="shared" si="3"/>
        <v>1.6190399999999991</v>
      </c>
    </row>
    <row r="58" spans="1:16" ht="15" x14ac:dyDescent="0.2">
      <c r="A58" s="194">
        <f>+'Tabel 2026 52 weken'!A58</f>
        <v>69493</v>
      </c>
      <c r="B58" s="194">
        <f>+'Tabel 2026 52 weken'!B58</f>
        <v>73292</v>
      </c>
      <c r="D58" s="131">
        <f>+'Tabel 2026 52 weken'!D58</f>
        <v>0.90500000000000003</v>
      </c>
      <c r="E58" s="129"/>
      <c r="F58" s="221">
        <f t="shared" si="0"/>
        <v>0</v>
      </c>
      <c r="G58" s="220"/>
      <c r="H58" s="221">
        <f t="shared" si="1"/>
        <v>2.0880999999999985</v>
      </c>
      <c r="J58" s="132">
        <f>+'Tabel 2026 52 weken'!J58</f>
        <v>0.94599999999999995</v>
      </c>
      <c r="K58" s="130"/>
      <c r="L58" s="223">
        <f t="shared" si="2"/>
        <v>0</v>
      </c>
      <c r="M58" s="222"/>
      <c r="N58" s="223">
        <f t="shared" si="3"/>
        <v>1.6789199999999993</v>
      </c>
    </row>
    <row r="59" spans="1:16" ht="15" x14ac:dyDescent="0.2">
      <c r="A59" s="194">
        <f>+'Tabel 2026 52 weken'!A59</f>
        <v>73293</v>
      </c>
      <c r="B59" s="194">
        <f>+'Tabel 2026 52 weken'!B59</f>
        <v>77094</v>
      </c>
      <c r="D59" s="131">
        <f>+'Tabel 2026 52 weken'!D59</f>
        <v>0.88200000000000001</v>
      </c>
      <c r="E59" s="129"/>
      <c r="F59" s="221">
        <f t="shared" si="0"/>
        <v>0</v>
      </c>
      <c r="G59" s="220"/>
      <c r="H59" s="221">
        <f t="shared" si="1"/>
        <v>2.317639999999999</v>
      </c>
      <c r="J59" s="132">
        <f>+'Tabel 2026 52 weken'!J59</f>
        <v>0.94199999999999995</v>
      </c>
      <c r="K59" s="130"/>
      <c r="L59" s="223">
        <f t="shared" si="2"/>
        <v>0</v>
      </c>
      <c r="M59" s="222"/>
      <c r="N59" s="223">
        <f t="shared" si="3"/>
        <v>1.7188399999999993</v>
      </c>
    </row>
    <row r="60" spans="1:16" ht="15" x14ac:dyDescent="0.2">
      <c r="A60" s="194">
        <f>+'Tabel 2026 52 weken'!A60</f>
        <v>77095</v>
      </c>
      <c r="B60" s="194">
        <f>+'Tabel 2026 52 weken'!B60</f>
        <v>80891</v>
      </c>
      <c r="D60" s="131">
        <f>+'Tabel 2026 52 weken'!D60</f>
        <v>0.85899999999999999</v>
      </c>
      <c r="E60" s="129"/>
      <c r="F60" s="221">
        <f t="shared" si="0"/>
        <v>0</v>
      </c>
      <c r="G60" s="220"/>
      <c r="H60" s="221">
        <f t="shared" si="1"/>
        <v>2.5471799999999991</v>
      </c>
      <c r="J60" s="132">
        <f>+'Tabel 2026 52 weken'!J60</f>
        <v>0.93899999999999995</v>
      </c>
      <c r="K60" s="130"/>
      <c r="L60" s="223">
        <f t="shared" si="2"/>
        <v>0</v>
      </c>
      <c r="M60" s="222"/>
      <c r="N60" s="223">
        <f t="shared" si="3"/>
        <v>1.7487799999999993</v>
      </c>
    </row>
    <row r="61" spans="1:16" ht="15" x14ac:dyDescent="0.2">
      <c r="A61" s="194">
        <f>+'Tabel 2026 52 weken'!A61</f>
        <v>80892</v>
      </c>
      <c r="B61" s="194">
        <f>+'Tabel 2026 52 weken'!B61</f>
        <v>84693</v>
      </c>
      <c r="D61" s="131">
        <f>+'Tabel 2026 52 weken'!D61</f>
        <v>0.83699999999999997</v>
      </c>
      <c r="E61" s="129"/>
      <c r="F61" s="221">
        <f t="shared" si="0"/>
        <v>0</v>
      </c>
      <c r="G61" s="220"/>
      <c r="H61" s="221">
        <f t="shared" si="1"/>
        <v>2.7667399999999991</v>
      </c>
      <c r="J61" s="132">
        <f>+'Tabel 2026 52 weken'!J61</f>
        <v>0.93200000000000005</v>
      </c>
      <c r="K61" s="130"/>
      <c r="L61" s="223">
        <f t="shared" si="2"/>
        <v>0</v>
      </c>
      <c r="M61" s="222"/>
      <c r="N61" s="223">
        <f t="shared" si="3"/>
        <v>1.8186399999999985</v>
      </c>
    </row>
    <row r="62" spans="1:16" ht="15" x14ac:dyDescent="0.2">
      <c r="A62" s="194">
        <f>+'Tabel 2026 52 weken'!A62</f>
        <v>84694</v>
      </c>
      <c r="B62" s="194">
        <f>+'Tabel 2026 52 weken'!B62</f>
        <v>88491</v>
      </c>
      <c r="D62" s="131">
        <f>+'Tabel 2026 52 weken'!D62</f>
        <v>0.81200000000000006</v>
      </c>
      <c r="E62" s="129"/>
      <c r="F62" s="221">
        <f t="shared" si="0"/>
        <v>0</v>
      </c>
      <c r="G62" s="220"/>
      <c r="H62" s="221">
        <f t="shared" si="1"/>
        <v>3.016239999999998</v>
      </c>
      <c r="J62" s="132">
        <f>+'Tabel 2026 52 weken'!J62</f>
        <v>0.92700000000000005</v>
      </c>
      <c r="K62" s="130"/>
      <c r="L62" s="223">
        <f t="shared" si="2"/>
        <v>0</v>
      </c>
      <c r="M62" s="222"/>
      <c r="N62" s="223">
        <f t="shared" si="3"/>
        <v>1.8685399999999983</v>
      </c>
    </row>
    <row r="63" spans="1:16" ht="15" x14ac:dyDescent="0.2">
      <c r="A63" s="194">
        <f>+'Tabel 2026 52 weken'!A63</f>
        <v>88492</v>
      </c>
      <c r="B63" s="194">
        <f>+'Tabel 2026 52 weken'!B63</f>
        <v>92291</v>
      </c>
      <c r="D63" s="131">
        <f>+'Tabel 2026 52 weken'!D63</f>
        <v>0.78900000000000003</v>
      </c>
      <c r="E63" s="129"/>
      <c r="F63" s="221">
        <f t="shared" si="0"/>
        <v>0</v>
      </c>
      <c r="G63" s="220"/>
      <c r="H63" s="221">
        <f t="shared" si="1"/>
        <v>3.2457799999999986</v>
      </c>
      <c r="J63" s="132">
        <f>+'Tabel 2026 52 weken'!J63</f>
        <v>0.92200000000000004</v>
      </c>
      <c r="K63" s="130"/>
      <c r="L63" s="223">
        <f t="shared" si="2"/>
        <v>0</v>
      </c>
      <c r="M63" s="222"/>
      <c r="N63" s="223">
        <f t="shared" si="3"/>
        <v>1.9184399999999984</v>
      </c>
      <c r="P63" s="93"/>
    </row>
    <row r="64" spans="1:16" ht="15" x14ac:dyDescent="0.2">
      <c r="A64" s="194">
        <f>+'Tabel 2026 52 weken'!A64</f>
        <v>92292</v>
      </c>
      <c r="B64" s="194">
        <f>+'Tabel 2026 52 weken'!B64</f>
        <v>96091</v>
      </c>
      <c r="D64" s="131">
        <f>+'Tabel 2026 52 weken'!D64</f>
        <v>0.76700000000000002</v>
      </c>
      <c r="E64" s="129"/>
      <c r="F64" s="221">
        <f t="shared" si="0"/>
        <v>0</v>
      </c>
      <c r="G64" s="220"/>
      <c r="H64" s="221">
        <f t="shared" si="1"/>
        <v>3.4653399999999985</v>
      </c>
      <c r="J64" s="132">
        <f>+'Tabel 2026 52 weken'!J64</f>
        <v>0.91500000000000004</v>
      </c>
      <c r="K64" s="130"/>
      <c r="L64" s="223">
        <f t="shared" si="2"/>
        <v>0</v>
      </c>
      <c r="M64" s="222"/>
      <c r="N64" s="223">
        <f t="shared" si="3"/>
        <v>1.9882999999999984</v>
      </c>
    </row>
    <row r="65" spans="1:16" ht="15" x14ac:dyDescent="0.2">
      <c r="A65" s="194">
        <f>+'Tabel 2026 52 weken'!A65</f>
        <v>96092</v>
      </c>
      <c r="B65" s="194">
        <f>+'Tabel 2026 52 weken'!B65</f>
        <v>99889</v>
      </c>
      <c r="D65" s="131">
        <f>+'Tabel 2026 52 weken'!D65</f>
        <v>0.74299999999999999</v>
      </c>
      <c r="E65" s="129"/>
      <c r="F65" s="221">
        <f t="shared" si="0"/>
        <v>0</v>
      </c>
      <c r="G65" s="220"/>
      <c r="H65" s="221">
        <f t="shared" si="1"/>
        <v>3.7048599999999992</v>
      </c>
      <c r="J65" s="132">
        <f>+'Tabel 2026 52 weken'!J65</f>
        <v>0.90900000000000003</v>
      </c>
      <c r="K65" s="130"/>
      <c r="L65" s="223">
        <f t="shared" si="2"/>
        <v>0</v>
      </c>
      <c r="M65" s="222"/>
      <c r="N65" s="223">
        <f t="shared" si="3"/>
        <v>2.0481799999999986</v>
      </c>
    </row>
    <row r="66" spans="1:16" ht="15" x14ac:dyDescent="0.2">
      <c r="A66" s="194">
        <f>+'Tabel 2026 52 weken'!A66</f>
        <v>99890</v>
      </c>
      <c r="B66" s="194">
        <f>+'Tabel 2026 52 weken'!B66</f>
        <v>103694</v>
      </c>
      <c r="D66" s="131">
        <f>+'Tabel 2026 52 weken'!D66</f>
        <v>0.72099999999999997</v>
      </c>
      <c r="E66" s="129"/>
      <c r="F66" s="221">
        <f t="shared" si="0"/>
        <v>0</v>
      </c>
      <c r="G66" s="220"/>
      <c r="H66" s="221">
        <f t="shared" si="1"/>
        <v>3.9244199999999991</v>
      </c>
      <c r="J66" s="132">
        <f>+'Tabel 2026 52 weken'!J66</f>
        <v>0.90500000000000003</v>
      </c>
      <c r="K66" s="130"/>
      <c r="L66" s="223">
        <f t="shared" si="2"/>
        <v>0</v>
      </c>
      <c r="M66" s="222"/>
      <c r="N66" s="223">
        <f t="shared" si="3"/>
        <v>2.0880999999999985</v>
      </c>
    </row>
    <row r="67" spans="1:16" ht="15" x14ac:dyDescent="0.2">
      <c r="A67" s="194">
        <f>+'Tabel 2026 52 weken'!A67</f>
        <v>103695</v>
      </c>
      <c r="B67" s="194">
        <f>+'Tabel 2026 52 weken'!B67</f>
        <v>107492</v>
      </c>
      <c r="D67" s="131">
        <f>+'Tabel 2026 52 weken'!D67</f>
        <v>0.69599999999999995</v>
      </c>
      <c r="E67" s="129"/>
      <c r="F67" s="221">
        <f t="shared" si="0"/>
        <v>0</v>
      </c>
      <c r="G67" s="220"/>
      <c r="H67" s="221">
        <f t="shared" si="1"/>
        <v>4.173919999999999</v>
      </c>
      <c r="J67" s="132">
        <f>+'Tabel 2026 52 weken'!J67</f>
        <v>0.90200000000000002</v>
      </c>
      <c r="K67" s="130"/>
      <c r="L67" s="223">
        <f t="shared" si="2"/>
        <v>0</v>
      </c>
      <c r="M67" s="222"/>
      <c r="N67" s="223">
        <f t="shared" si="3"/>
        <v>2.1180399999999988</v>
      </c>
    </row>
    <row r="68" spans="1:16" ht="15" x14ac:dyDescent="0.2">
      <c r="A68" s="194">
        <f>+'Tabel 2026 52 weken'!A68</f>
        <v>107493</v>
      </c>
      <c r="B68" s="194">
        <f>+'Tabel 2026 52 weken'!B68</f>
        <v>111290</v>
      </c>
      <c r="D68" s="131">
        <f>+'Tabel 2026 52 weken'!D68</f>
        <v>0.67300000000000004</v>
      </c>
      <c r="E68" s="129"/>
      <c r="F68" s="221">
        <f t="shared" si="0"/>
        <v>0</v>
      </c>
      <c r="G68" s="220"/>
      <c r="H68" s="221">
        <f t="shared" si="1"/>
        <v>4.403459999999999</v>
      </c>
      <c r="J68" s="132">
        <f>+'Tabel 2026 52 weken'!J68</f>
        <v>0.89500000000000002</v>
      </c>
      <c r="K68" s="130"/>
      <c r="L68" s="223">
        <f t="shared" si="2"/>
        <v>0</v>
      </c>
      <c r="M68" s="222"/>
      <c r="N68" s="223">
        <f t="shared" si="3"/>
        <v>2.1878999999999986</v>
      </c>
    </row>
    <row r="69" spans="1:16" ht="15" x14ac:dyDescent="0.2">
      <c r="A69" s="194">
        <f>+'Tabel 2026 52 weken'!A69</f>
        <v>111291</v>
      </c>
      <c r="B69" s="194">
        <f>+'Tabel 2026 52 weken'!B69</f>
        <v>115090</v>
      </c>
      <c r="D69" s="131">
        <f>+'Tabel 2026 52 weken'!D69</f>
        <v>0.65100000000000002</v>
      </c>
      <c r="E69" s="129"/>
      <c r="F69" s="221">
        <f t="shared" si="0"/>
        <v>0</v>
      </c>
      <c r="G69" s="220"/>
      <c r="H69" s="221">
        <f t="shared" si="1"/>
        <v>4.6230199999999986</v>
      </c>
      <c r="J69" s="132">
        <f>+'Tabel 2026 52 weken'!J69</f>
        <v>0.89100000000000001</v>
      </c>
      <c r="K69" s="130"/>
      <c r="L69" s="223">
        <f t="shared" si="2"/>
        <v>0</v>
      </c>
      <c r="M69" s="222"/>
      <c r="N69" s="223">
        <f t="shared" si="3"/>
        <v>2.2278199999999986</v>
      </c>
    </row>
    <row r="70" spans="1:16" ht="15" x14ac:dyDescent="0.2">
      <c r="A70" s="194">
        <f>+'Tabel 2026 52 weken'!A70</f>
        <v>115091</v>
      </c>
      <c r="B70" s="194">
        <f>+'Tabel 2026 52 weken'!B70</f>
        <v>118963</v>
      </c>
      <c r="D70" s="131">
        <f>+'Tabel 2026 52 weken'!D70</f>
        <v>0.627</v>
      </c>
      <c r="E70" s="129"/>
      <c r="F70" s="221">
        <f t="shared" si="0"/>
        <v>0</v>
      </c>
      <c r="G70" s="220"/>
      <c r="H70" s="221">
        <f t="shared" si="1"/>
        <v>4.8625399999999992</v>
      </c>
      <c r="J70" s="132">
        <f>+'Tabel 2026 52 weken'!J70</f>
        <v>0.88600000000000001</v>
      </c>
      <c r="K70" s="130"/>
      <c r="L70" s="223">
        <f t="shared" si="2"/>
        <v>0</v>
      </c>
      <c r="M70" s="222"/>
      <c r="N70" s="223">
        <f t="shared" si="3"/>
        <v>2.2777199999999986</v>
      </c>
    </row>
    <row r="71" spans="1:16" ht="15" x14ac:dyDescent="0.2">
      <c r="A71" s="194">
        <f>+'Tabel 2026 52 weken'!A71</f>
        <v>118964</v>
      </c>
      <c r="B71" s="194">
        <f>+'Tabel 2026 52 weken'!B71</f>
        <v>122857</v>
      </c>
      <c r="D71" s="131">
        <f>+'Tabel 2026 52 weken'!D71</f>
        <v>0.60599999999999998</v>
      </c>
      <c r="E71" s="129"/>
      <c r="F71" s="221">
        <f t="shared" si="0"/>
        <v>0</v>
      </c>
      <c r="G71" s="220"/>
      <c r="H71" s="221">
        <f t="shared" si="1"/>
        <v>5.0721199999999991</v>
      </c>
      <c r="J71" s="132">
        <f>+'Tabel 2026 52 weken'!J71</f>
        <v>0.879</v>
      </c>
      <c r="K71" s="130"/>
      <c r="L71" s="223">
        <f t="shared" si="2"/>
        <v>0</v>
      </c>
      <c r="M71" s="222"/>
      <c r="N71" s="223">
        <f t="shared" si="3"/>
        <v>2.3475799999999989</v>
      </c>
    </row>
    <row r="72" spans="1:16" ht="15" x14ac:dyDescent="0.2">
      <c r="A72" s="194">
        <f>+'Tabel 2026 52 weken'!A72</f>
        <v>122858</v>
      </c>
      <c r="B72" s="194">
        <f>+'Tabel 2026 52 weken'!B72</f>
        <v>126747</v>
      </c>
      <c r="D72" s="131">
        <f>+'Tabel 2026 52 weken'!D72</f>
        <v>0.58499999999999996</v>
      </c>
      <c r="E72" s="129"/>
      <c r="F72" s="221">
        <f t="shared" si="0"/>
        <v>0</v>
      </c>
      <c r="G72" s="220"/>
      <c r="H72" s="221">
        <f t="shared" si="1"/>
        <v>5.281699999999999</v>
      </c>
      <c r="J72" s="132">
        <f>+'Tabel 2026 52 weken'!J72</f>
        <v>0.874</v>
      </c>
      <c r="K72" s="130"/>
      <c r="L72" s="223">
        <f t="shared" si="2"/>
        <v>0</v>
      </c>
      <c r="M72" s="222"/>
      <c r="N72" s="223">
        <f t="shared" si="3"/>
        <v>2.3974799999999989</v>
      </c>
    </row>
    <row r="73" spans="1:16" ht="15" x14ac:dyDescent="0.2">
      <c r="A73" s="194">
        <f>+'Tabel 2026 52 weken'!A73</f>
        <v>126748</v>
      </c>
      <c r="B73" s="194">
        <f>+'Tabel 2026 52 weken'!B73</f>
        <v>130638</v>
      </c>
      <c r="D73" s="131">
        <f>+'Tabel 2026 52 weken'!D73</f>
        <v>0.56399999999999995</v>
      </c>
      <c r="E73" s="129"/>
      <c r="F73" s="221">
        <f t="shared" si="0"/>
        <v>0</v>
      </c>
      <c r="G73" s="220"/>
      <c r="H73" s="221">
        <f t="shared" si="1"/>
        <v>5.4912799999999997</v>
      </c>
      <c r="J73" s="132">
        <f>+'Tabel 2026 52 weken'!J73</f>
        <v>0.87</v>
      </c>
      <c r="K73" s="130"/>
      <c r="L73" s="223">
        <f t="shared" si="2"/>
        <v>0</v>
      </c>
      <c r="M73" s="222"/>
      <c r="N73" s="223">
        <f t="shared" si="3"/>
        <v>2.4373999999999989</v>
      </c>
    </row>
    <row r="74" spans="1:16" ht="15" x14ac:dyDescent="0.2">
      <c r="A74" s="194">
        <f>+'Tabel 2026 52 weken'!A74</f>
        <v>130639</v>
      </c>
      <c r="B74" s="194">
        <f>+'Tabel 2026 52 weken'!B74</f>
        <v>134527</v>
      </c>
      <c r="D74" s="131">
        <f>+'Tabel 2026 52 weken'!D74</f>
        <v>0.54200000000000004</v>
      </c>
      <c r="E74" s="129"/>
      <c r="F74" s="221">
        <f t="shared" si="0"/>
        <v>0</v>
      </c>
      <c r="G74" s="220"/>
      <c r="H74" s="221">
        <f t="shared" si="1"/>
        <v>5.7108399999999984</v>
      </c>
      <c r="J74" s="132">
        <f>+'Tabel 2026 52 weken'!J74</f>
        <v>0.86699999999999999</v>
      </c>
      <c r="K74" s="130"/>
      <c r="L74" s="223">
        <f t="shared" si="2"/>
        <v>0</v>
      </c>
      <c r="M74" s="222"/>
      <c r="N74" s="223">
        <f t="shared" si="3"/>
        <v>2.4673399999999992</v>
      </c>
    </row>
    <row r="75" spans="1:16" ht="15" x14ac:dyDescent="0.2">
      <c r="A75" s="194">
        <f>+'Tabel 2026 52 weken'!A75</f>
        <v>134528</v>
      </c>
      <c r="B75" s="194">
        <f>+'Tabel 2026 52 weken'!B75</f>
        <v>138420</v>
      </c>
      <c r="D75" s="131">
        <f>+'Tabel 2026 52 weken'!D75</f>
        <v>0.52300000000000002</v>
      </c>
      <c r="E75" s="129"/>
      <c r="F75" s="221">
        <f t="shared" si="0"/>
        <v>0</v>
      </c>
      <c r="G75" s="220"/>
      <c r="H75" s="221">
        <f t="shared" si="1"/>
        <v>5.9004599999999989</v>
      </c>
      <c r="J75" s="132">
        <f>+'Tabel 2026 52 weken'!J75</f>
        <v>0.86</v>
      </c>
      <c r="K75" s="130"/>
      <c r="L75" s="223">
        <f t="shared" si="2"/>
        <v>0</v>
      </c>
      <c r="M75" s="222"/>
      <c r="N75" s="223">
        <f t="shared" si="3"/>
        <v>2.537199999999999</v>
      </c>
    </row>
    <row r="76" spans="1:16" ht="15" x14ac:dyDescent="0.2">
      <c r="A76" s="194">
        <f>+'Tabel 2026 52 weken'!A76</f>
        <v>138421</v>
      </c>
      <c r="B76" s="194">
        <f>+'Tabel 2026 52 weken'!B76</f>
        <v>142312</v>
      </c>
      <c r="D76" s="131">
        <f>+'Tabel 2026 52 weken'!D76</f>
        <v>0.504</v>
      </c>
      <c r="E76" s="129"/>
      <c r="F76" s="221">
        <f t="shared" si="0"/>
        <v>0</v>
      </c>
      <c r="G76" s="220"/>
      <c r="H76" s="221">
        <f t="shared" si="1"/>
        <v>6.0900799999999986</v>
      </c>
      <c r="J76" s="132">
        <f>+'Tabel 2026 52 weken'!J76</f>
        <v>0.85399999999999998</v>
      </c>
      <c r="K76" s="130"/>
      <c r="L76" s="223">
        <f t="shared" si="2"/>
        <v>0</v>
      </c>
      <c r="M76" s="222"/>
      <c r="N76" s="223">
        <f t="shared" si="3"/>
        <v>2.5970799999999992</v>
      </c>
    </row>
    <row r="77" spans="1:16" ht="15" x14ac:dyDescent="0.2">
      <c r="A77" s="194">
        <f>+'Tabel 2026 52 weken'!A77</f>
        <v>142313</v>
      </c>
      <c r="B77" s="194">
        <f>+'Tabel 2026 52 weken'!B77</f>
        <v>146205</v>
      </c>
      <c r="D77" s="131">
        <f>+'Tabel 2026 52 weken'!D77</f>
        <v>0.48499999999999999</v>
      </c>
      <c r="E77" s="129"/>
      <c r="F77" s="221">
        <f t="shared" si="0"/>
        <v>0</v>
      </c>
      <c r="G77" s="220"/>
      <c r="H77" s="221">
        <f t="shared" si="1"/>
        <v>6.2796999999999992</v>
      </c>
      <c r="J77" s="132">
        <f>+'Tabel 2026 52 weken'!J77</f>
        <v>0.85</v>
      </c>
      <c r="K77" s="130"/>
      <c r="L77" s="223">
        <f t="shared" si="2"/>
        <v>0</v>
      </c>
      <c r="M77" s="222"/>
      <c r="N77" s="223">
        <f t="shared" si="3"/>
        <v>2.6369999999999991</v>
      </c>
    </row>
    <row r="78" spans="1:16" ht="15" x14ac:dyDescent="0.2">
      <c r="A78" s="194">
        <f>+'Tabel 2026 52 weken'!A78</f>
        <v>146206</v>
      </c>
      <c r="B78" s="194">
        <f>+'Tabel 2026 52 weken'!B78</f>
        <v>150092</v>
      </c>
      <c r="D78" s="131">
        <f>+'Tabel 2026 52 weken'!D78</f>
        <v>0.46500000000000002</v>
      </c>
      <c r="E78" s="129"/>
      <c r="F78" s="221">
        <f t="shared" si="0"/>
        <v>0</v>
      </c>
      <c r="G78" s="220"/>
      <c r="H78" s="221">
        <f t="shared" si="1"/>
        <v>6.4792999999999985</v>
      </c>
      <c r="J78" s="132">
        <f>+'Tabel 2026 52 weken'!J78</f>
        <v>0.84399999999999997</v>
      </c>
      <c r="K78" s="130"/>
      <c r="L78" s="223">
        <f t="shared" si="2"/>
        <v>0</v>
      </c>
      <c r="M78" s="222"/>
      <c r="N78" s="223">
        <f t="shared" si="3"/>
        <v>2.6968799999999993</v>
      </c>
      <c r="O78" s="95"/>
      <c r="P78" s="10"/>
    </row>
    <row r="79" spans="1:16" ht="15" x14ac:dyDescent="0.2">
      <c r="A79" s="194">
        <f>+'Tabel 2026 52 weken'!A79</f>
        <v>150093</v>
      </c>
      <c r="B79" s="194">
        <f>+'Tabel 2026 52 weken'!B79</f>
        <v>153982</v>
      </c>
      <c r="D79" s="131">
        <f>+'Tabel 2026 52 weken'!D79</f>
        <v>0.44500000000000001</v>
      </c>
      <c r="E79" s="129"/>
      <c r="F79" s="221">
        <f t="shared" si="0"/>
        <v>0</v>
      </c>
      <c r="G79" s="220"/>
      <c r="H79" s="221">
        <f t="shared" si="1"/>
        <v>6.6788999999999987</v>
      </c>
      <c r="J79" s="132">
        <f>+'Tabel 2026 52 weken'!J79</f>
        <v>0.84</v>
      </c>
      <c r="K79" s="130"/>
      <c r="L79" s="223">
        <f t="shared" si="2"/>
        <v>0</v>
      </c>
      <c r="M79" s="222"/>
      <c r="N79" s="223">
        <f t="shared" si="3"/>
        <v>2.7367999999999992</v>
      </c>
    </row>
    <row r="80" spans="1:16" ht="15" x14ac:dyDescent="0.2">
      <c r="A80" s="194">
        <f>+'Tabel 2026 52 weken'!A80</f>
        <v>153983</v>
      </c>
      <c r="B80" s="194">
        <f>+'Tabel 2026 52 weken'!B80</f>
        <v>157877</v>
      </c>
      <c r="D80" s="131">
        <f>+'Tabel 2026 52 weken'!D80</f>
        <v>0.42499999999999999</v>
      </c>
      <c r="E80" s="129"/>
      <c r="F80" s="221">
        <f t="shared" si="0"/>
        <v>0</v>
      </c>
      <c r="G80" s="220"/>
      <c r="H80" s="221">
        <f t="shared" si="1"/>
        <v>6.8784999999999989</v>
      </c>
      <c r="J80" s="132">
        <f>+'Tabel 2026 52 weken'!J80</f>
        <v>0.83299999999999996</v>
      </c>
      <c r="K80" s="130"/>
      <c r="L80" s="223">
        <f t="shared" si="2"/>
        <v>0</v>
      </c>
      <c r="M80" s="222"/>
      <c r="N80" s="223">
        <f t="shared" si="3"/>
        <v>2.806659999999999</v>
      </c>
    </row>
    <row r="81" spans="1:14" ht="15" x14ac:dyDescent="0.2">
      <c r="A81" s="194">
        <f>+'Tabel 2026 52 weken'!A81</f>
        <v>157878</v>
      </c>
      <c r="B81" s="194">
        <f>+'Tabel 2026 52 weken'!B81</f>
        <v>161766</v>
      </c>
      <c r="D81" s="131">
        <f>+'Tabel 2026 52 weken'!D81</f>
        <v>0.40500000000000003</v>
      </c>
      <c r="E81" s="129"/>
      <c r="F81" s="221">
        <f t="shared" si="0"/>
        <v>0</v>
      </c>
      <c r="G81" s="220"/>
      <c r="H81" s="221">
        <f t="shared" si="1"/>
        <v>7.0780999999999992</v>
      </c>
      <c r="J81" s="132">
        <f>+'Tabel 2026 52 weken'!J81</f>
        <v>0.82699999999999996</v>
      </c>
      <c r="K81" s="130"/>
      <c r="L81" s="223">
        <f t="shared" si="2"/>
        <v>0</v>
      </c>
      <c r="M81" s="222"/>
      <c r="N81" s="223">
        <f t="shared" si="3"/>
        <v>2.8665399999999992</v>
      </c>
    </row>
    <row r="82" spans="1:14" ht="15" x14ac:dyDescent="0.2">
      <c r="A82" s="194">
        <f>+'Tabel 2026 52 weken'!A82</f>
        <v>161767</v>
      </c>
      <c r="B82" s="194">
        <f>+'Tabel 2026 52 weken'!B82</f>
        <v>165657</v>
      </c>
      <c r="D82" s="131">
        <f>+'Tabel 2026 52 weken'!D82</f>
        <v>0.38500000000000001</v>
      </c>
      <c r="E82" s="129"/>
      <c r="F82" s="221">
        <f t="shared" si="0"/>
        <v>0</v>
      </c>
      <c r="G82" s="220"/>
      <c r="H82" s="221">
        <f t="shared" si="1"/>
        <v>7.2776999999999994</v>
      </c>
      <c r="J82" s="132">
        <f>+'Tabel 2026 52 weken'!J82</f>
        <v>0.81699999999999995</v>
      </c>
      <c r="K82" s="130"/>
      <c r="L82" s="223">
        <f t="shared" si="2"/>
        <v>0</v>
      </c>
      <c r="M82" s="222"/>
      <c r="N82" s="223">
        <f t="shared" si="3"/>
        <v>2.9663399999999993</v>
      </c>
    </row>
    <row r="83" spans="1:14" ht="15" x14ac:dyDescent="0.2">
      <c r="A83" s="194">
        <f>+'Tabel 2026 52 weken'!A83</f>
        <v>165658</v>
      </c>
      <c r="B83" s="194">
        <f>+'Tabel 2026 52 weken'!B83</f>
        <v>169547</v>
      </c>
      <c r="D83" s="131">
        <f>+'Tabel 2026 52 weken'!D83</f>
        <v>0.36499999999999999</v>
      </c>
      <c r="E83" s="129"/>
      <c r="F83" s="221">
        <f t="shared" si="0"/>
        <v>0</v>
      </c>
      <c r="G83" s="220"/>
      <c r="H83" s="221">
        <f t="shared" si="1"/>
        <v>7.4772999999999987</v>
      </c>
      <c r="J83" s="132">
        <f>+'Tabel 2026 52 weken'!J83</f>
        <v>0.81399999999999995</v>
      </c>
      <c r="K83" s="130"/>
      <c r="L83" s="223">
        <f t="shared" si="2"/>
        <v>0</v>
      </c>
      <c r="M83" s="222"/>
      <c r="N83" s="223">
        <f t="shared" si="3"/>
        <v>2.9962799999999996</v>
      </c>
    </row>
    <row r="84" spans="1:14" ht="15" x14ac:dyDescent="0.2">
      <c r="A84" s="194">
        <f>+'Tabel 2026 52 weken'!A84</f>
        <v>169548</v>
      </c>
      <c r="B84" s="194">
        <f>+'Tabel 2026 52 weken'!B84</f>
        <v>173440</v>
      </c>
      <c r="D84" s="131">
        <f>+'Tabel 2026 52 weken'!D84</f>
        <v>0.36499999999999999</v>
      </c>
      <c r="E84" s="129"/>
      <c r="F84" s="221">
        <f t="shared" si="0"/>
        <v>0</v>
      </c>
      <c r="G84" s="220"/>
      <c r="H84" s="221">
        <f t="shared" si="1"/>
        <v>7.4772999999999987</v>
      </c>
      <c r="J84" s="132">
        <f>+'Tabel 2026 52 weken'!J84</f>
        <v>0.80600000000000005</v>
      </c>
      <c r="K84" s="130"/>
      <c r="L84" s="223">
        <f t="shared" si="2"/>
        <v>0</v>
      </c>
      <c r="M84" s="222"/>
      <c r="N84" s="223">
        <f t="shared" si="3"/>
        <v>3.0761199999999986</v>
      </c>
    </row>
    <row r="85" spans="1:14" ht="15" x14ac:dyDescent="0.2">
      <c r="A85" s="194">
        <f>+'Tabel 2026 52 weken'!A85</f>
        <v>173441</v>
      </c>
      <c r="B85" s="194">
        <f>+'Tabel 2026 52 weken'!B85</f>
        <v>177335</v>
      </c>
      <c r="D85" s="131">
        <f>+'Tabel 2026 52 weken'!D85</f>
        <v>0.36499999999999999</v>
      </c>
      <c r="E85" s="129"/>
      <c r="F85" s="221">
        <f t="shared" si="0"/>
        <v>0</v>
      </c>
      <c r="G85" s="220"/>
      <c r="H85" s="221">
        <f t="shared" si="1"/>
        <v>7.4772999999999987</v>
      </c>
      <c r="J85" s="132">
        <f>+'Tabel 2026 52 weken'!J85</f>
        <v>0.79700000000000004</v>
      </c>
      <c r="K85" s="130"/>
      <c r="L85" s="223">
        <f t="shared" si="2"/>
        <v>0</v>
      </c>
      <c r="M85" s="222"/>
      <c r="N85" s="223">
        <f t="shared" si="3"/>
        <v>3.1659399999999986</v>
      </c>
    </row>
    <row r="86" spans="1:14" ht="15" x14ac:dyDescent="0.2">
      <c r="A86" s="194">
        <f>+'Tabel 2026 52 weken'!A86</f>
        <v>177336</v>
      </c>
      <c r="B86" s="194">
        <f>+'Tabel 2026 52 weken'!B86</f>
        <v>181223</v>
      </c>
      <c r="D86" s="131">
        <f>+'Tabel 2026 52 weken'!D86</f>
        <v>0.36499999999999999</v>
      </c>
      <c r="E86" s="129"/>
      <c r="F86" s="221">
        <f t="shared" si="0"/>
        <v>0</v>
      </c>
      <c r="G86" s="220"/>
      <c r="H86" s="221">
        <f t="shared" si="1"/>
        <v>7.4772999999999987</v>
      </c>
      <c r="J86" s="132">
        <f>+'Tabel 2026 52 weken'!J86</f>
        <v>0.79100000000000004</v>
      </c>
      <c r="K86" s="130"/>
      <c r="L86" s="223">
        <f t="shared" si="2"/>
        <v>0</v>
      </c>
      <c r="M86" s="222"/>
      <c r="N86" s="223">
        <f t="shared" si="3"/>
        <v>3.2258199999999984</v>
      </c>
    </row>
    <row r="87" spans="1:14" ht="15" x14ac:dyDescent="0.2">
      <c r="A87" s="194">
        <f>+'Tabel 2026 52 weken'!A87</f>
        <v>181224</v>
      </c>
      <c r="B87" s="194">
        <f>+'Tabel 2026 52 weken'!B87</f>
        <v>185114</v>
      </c>
      <c r="D87" s="131">
        <f>+'Tabel 2026 52 weken'!D87</f>
        <v>0.36499999999999999</v>
      </c>
      <c r="E87" s="129"/>
      <c r="F87" s="221">
        <f t="shared" si="0"/>
        <v>0</v>
      </c>
      <c r="G87" s="220"/>
      <c r="H87" s="221">
        <f t="shared" si="1"/>
        <v>7.4772999999999987</v>
      </c>
      <c r="J87" s="132">
        <f>+'Tabel 2026 52 weken'!J87</f>
        <v>0.78200000000000003</v>
      </c>
      <c r="K87" s="130"/>
      <c r="L87" s="223">
        <f t="shared" si="2"/>
        <v>0</v>
      </c>
      <c r="M87" s="222"/>
      <c r="N87" s="223">
        <f t="shared" si="3"/>
        <v>3.3156399999999988</v>
      </c>
    </row>
    <row r="88" spans="1:14" ht="15" x14ac:dyDescent="0.2">
      <c r="A88" s="194">
        <f>+'Tabel 2026 52 weken'!A88</f>
        <v>185115</v>
      </c>
      <c r="B88" s="194">
        <f>+'Tabel 2026 52 weken'!B88</f>
        <v>189002</v>
      </c>
      <c r="D88" s="131">
        <f>+'Tabel 2026 52 weken'!D88</f>
        <v>0.36499999999999999</v>
      </c>
      <c r="E88" s="129"/>
      <c r="F88" s="221">
        <f t="shared" si="0"/>
        <v>0</v>
      </c>
      <c r="G88" s="220"/>
      <c r="H88" s="221">
        <f t="shared" si="1"/>
        <v>7.4772999999999987</v>
      </c>
      <c r="J88" s="132">
        <f>+'Tabel 2026 52 weken'!J88</f>
        <v>0.77700000000000002</v>
      </c>
      <c r="K88" s="130"/>
      <c r="L88" s="223">
        <f t="shared" si="2"/>
        <v>0</v>
      </c>
      <c r="M88" s="222"/>
      <c r="N88" s="223">
        <f t="shared" si="3"/>
        <v>3.3655399999999989</v>
      </c>
    </row>
    <row r="89" spans="1:14" ht="15" x14ac:dyDescent="0.2">
      <c r="A89" s="194">
        <f>+'Tabel 2026 52 weken'!A89</f>
        <v>189003</v>
      </c>
      <c r="B89" s="194">
        <f>+'Tabel 2026 52 weken'!B89</f>
        <v>192896</v>
      </c>
      <c r="D89" s="131">
        <f>+'Tabel 2026 52 weken'!D89</f>
        <v>0.36499999999999999</v>
      </c>
      <c r="E89" s="129"/>
      <c r="F89" s="221">
        <f t="shared" si="0"/>
        <v>0</v>
      </c>
      <c r="G89" s="220"/>
      <c r="H89" s="221">
        <f t="shared" si="1"/>
        <v>7.4772999999999987</v>
      </c>
      <c r="J89" s="132">
        <f>+'Tabel 2026 52 weken'!J89</f>
        <v>0.76900000000000002</v>
      </c>
      <c r="K89" s="130"/>
      <c r="L89" s="223">
        <f t="shared" si="2"/>
        <v>0</v>
      </c>
      <c r="M89" s="222"/>
      <c r="N89" s="223">
        <f t="shared" si="3"/>
        <v>3.4453799999999988</v>
      </c>
    </row>
    <row r="90" spans="1:14" ht="15" x14ac:dyDescent="0.2">
      <c r="A90" s="194">
        <f>+'Tabel 2026 52 weken'!A90</f>
        <v>192897</v>
      </c>
      <c r="B90" s="194">
        <f>+'Tabel 2026 52 weken'!B90</f>
        <v>196789</v>
      </c>
      <c r="D90" s="131">
        <f>+'Tabel 2026 52 weken'!D90</f>
        <v>0.36499999999999999</v>
      </c>
      <c r="E90" s="129"/>
      <c r="F90" s="221">
        <f t="shared" si="0"/>
        <v>0</v>
      </c>
      <c r="G90" s="220"/>
      <c r="H90" s="221">
        <f t="shared" si="1"/>
        <v>7.4772999999999987</v>
      </c>
      <c r="J90" s="132">
        <f>+'Tabel 2026 52 weken'!J90</f>
        <v>0.76200000000000001</v>
      </c>
      <c r="K90" s="130"/>
      <c r="L90" s="223">
        <f t="shared" si="2"/>
        <v>0</v>
      </c>
      <c r="M90" s="222"/>
      <c r="N90" s="223">
        <f t="shared" si="3"/>
        <v>3.5152399999999986</v>
      </c>
    </row>
    <row r="91" spans="1:14" ht="15" x14ac:dyDescent="0.2">
      <c r="A91" s="194">
        <f>+'Tabel 2026 52 weken'!A91</f>
        <v>196790</v>
      </c>
      <c r="B91" s="194">
        <f>+'Tabel 2026 52 weken'!B91</f>
        <v>200681</v>
      </c>
      <c r="D91" s="131">
        <f>+'Tabel 2026 52 weken'!D91</f>
        <v>0.36499999999999999</v>
      </c>
      <c r="E91" s="129"/>
      <c r="F91" s="221">
        <f t="shared" si="0"/>
        <v>0</v>
      </c>
      <c r="G91" s="220"/>
      <c r="H91" s="221">
        <f t="shared" si="1"/>
        <v>7.4772999999999987</v>
      </c>
      <c r="J91" s="132">
        <f>+'Tabel 2026 52 weken'!J91</f>
        <v>0.755</v>
      </c>
      <c r="K91" s="130"/>
      <c r="L91" s="223">
        <f t="shared" si="2"/>
        <v>0</v>
      </c>
      <c r="M91" s="222"/>
      <c r="N91" s="223">
        <f t="shared" si="3"/>
        <v>3.5850999999999988</v>
      </c>
    </row>
    <row r="92" spans="1:14" ht="15" x14ac:dyDescent="0.2">
      <c r="A92" s="194">
        <f>+'Tabel 2026 52 weken'!A92</f>
        <v>200682</v>
      </c>
      <c r="B92" s="194">
        <f>+'Tabel 2026 52 weken'!B92</f>
        <v>204571</v>
      </c>
      <c r="D92" s="131">
        <f>+'Tabel 2026 52 weken'!D92</f>
        <v>0.36499999999999999</v>
      </c>
      <c r="E92" s="129"/>
      <c r="F92" s="221">
        <f t="shared" si="0"/>
        <v>0</v>
      </c>
      <c r="G92" s="220"/>
      <c r="H92" s="221">
        <f t="shared" si="1"/>
        <v>7.4772999999999987</v>
      </c>
      <c r="J92" s="132">
        <f>+'Tabel 2026 52 weken'!J92</f>
        <v>0.745</v>
      </c>
      <c r="K92" s="130"/>
      <c r="L92" s="223">
        <f t="shared" si="2"/>
        <v>0</v>
      </c>
      <c r="M92" s="222"/>
      <c r="N92" s="223">
        <f t="shared" si="3"/>
        <v>3.684899999999999</v>
      </c>
    </row>
    <row r="93" spans="1:14" ht="15" x14ac:dyDescent="0.2">
      <c r="A93" s="194">
        <f>+'Tabel 2026 52 weken'!A93</f>
        <v>204572</v>
      </c>
      <c r="B93" s="194">
        <f>+'Tabel 2026 52 weken'!B93</f>
        <v>208458</v>
      </c>
      <c r="D93" s="131">
        <f>+'Tabel 2026 52 weken'!D93</f>
        <v>0.36499999999999999</v>
      </c>
      <c r="E93" s="129"/>
      <c r="F93" s="221">
        <f t="shared" si="0"/>
        <v>0</v>
      </c>
      <c r="G93" s="220"/>
      <c r="H93" s="221">
        <f t="shared" si="1"/>
        <v>7.4772999999999987</v>
      </c>
      <c r="J93" s="132">
        <f>+'Tabel 2026 52 weken'!J93</f>
        <v>0.74</v>
      </c>
      <c r="K93" s="130"/>
      <c r="L93" s="223">
        <f t="shared" si="2"/>
        <v>0</v>
      </c>
      <c r="M93" s="222"/>
      <c r="N93" s="223">
        <f t="shared" si="3"/>
        <v>3.734799999999999</v>
      </c>
    </row>
    <row r="94" spans="1:14" ht="15" x14ac:dyDescent="0.2">
      <c r="A94" s="194">
        <f>+'Tabel 2026 52 weken'!A94</f>
        <v>208459</v>
      </c>
      <c r="B94" s="194">
        <f>+'Tabel 2026 52 weken'!B94</f>
        <v>212353</v>
      </c>
      <c r="D94" s="131">
        <f>+'Tabel 2026 52 weken'!D94</f>
        <v>0.36499999999999999</v>
      </c>
      <c r="E94" s="129"/>
      <c r="F94" s="221">
        <f t="shared" si="0"/>
        <v>0</v>
      </c>
      <c r="G94" s="220"/>
      <c r="H94" s="221">
        <f t="shared" si="1"/>
        <v>7.4772999999999987</v>
      </c>
      <c r="J94" s="132">
        <f>+'Tabel 2026 52 weken'!J94</f>
        <v>0.73299999999999998</v>
      </c>
      <c r="K94" s="130"/>
      <c r="L94" s="223">
        <f t="shared" si="2"/>
        <v>0</v>
      </c>
      <c r="M94" s="222"/>
      <c r="N94" s="223">
        <f t="shared" si="3"/>
        <v>3.8046599999999993</v>
      </c>
    </row>
    <row r="95" spans="1:14" ht="15" x14ac:dyDescent="0.2">
      <c r="A95" s="194">
        <f>+'Tabel 2026 52 weken'!A95</f>
        <v>212354</v>
      </c>
      <c r="B95" s="194">
        <f>+'Tabel 2026 52 weken'!B95</f>
        <v>216242</v>
      </c>
      <c r="D95" s="131">
        <f>+'Tabel 2026 52 weken'!D95</f>
        <v>0.36499999999999999</v>
      </c>
      <c r="E95" s="129"/>
      <c r="F95" s="221">
        <f t="shared" si="0"/>
        <v>0</v>
      </c>
      <c r="G95" s="220"/>
      <c r="H95" s="221">
        <f t="shared" si="1"/>
        <v>7.4772999999999987</v>
      </c>
      <c r="J95" s="132">
        <f>+'Tabel 2026 52 weken'!J95</f>
        <v>0.72499999999999998</v>
      </c>
      <c r="K95" s="130"/>
      <c r="L95" s="223">
        <f t="shared" si="2"/>
        <v>0</v>
      </c>
      <c r="M95" s="222"/>
      <c r="N95" s="223">
        <f t="shared" si="3"/>
        <v>3.8844999999999992</v>
      </c>
    </row>
    <row r="96" spans="1:14" ht="15" x14ac:dyDescent="0.2">
      <c r="A96" s="194">
        <f>+'Tabel 2026 52 weken'!A96</f>
        <v>216243</v>
      </c>
      <c r="B96" s="194">
        <f>+'Tabel 2026 52 weken'!B96</f>
        <v>220134</v>
      </c>
      <c r="D96" s="131">
        <f>+'Tabel 2026 52 weken'!D96</f>
        <v>0.36499999999999999</v>
      </c>
      <c r="E96" s="129"/>
      <c r="F96" s="221">
        <f t="shared" si="0"/>
        <v>0</v>
      </c>
      <c r="G96" s="220"/>
      <c r="H96" s="221">
        <f t="shared" si="1"/>
        <v>7.4772999999999987</v>
      </c>
      <c r="J96" s="132">
        <f>+'Tabel 2026 52 weken'!J96</f>
        <v>0.71799999999999997</v>
      </c>
      <c r="K96" s="130"/>
      <c r="L96" s="223">
        <f t="shared" si="2"/>
        <v>0</v>
      </c>
      <c r="M96" s="222"/>
      <c r="N96" s="223">
        <f t="shared" si="3"/>
        <v>3.954359999999999</v>
      </c>
    </row>
    <row r="97" spans="1:14" ht="15" x14ac:dyDescent="0.2">
      <c r="A97" s="194">
        <f>+'Tabel 2026 52 weken'!A97</f>
        <v>220135</v>
      </c>
      <c r="B97" s="194">
        <f>+'Tabel 2026 52 weken'!B97</f>
        <v>224026</v>
      </c>
      <c r="D97" s="131">
        <f>+'Tabel 2026 52 weken'!D97</f>
        <v>0.36499999999999999</v>
      </c>
      <c r="E97" s="129"/>
      <c r="F97" s="221">
        <f t="shared" si="0"/>
        <v>0</v>
      </c>
      <c r="G97" s="220"/>
      <c r="H97" s="221">
        <f t="shared" si="1"/>
        <v>7.4772999999999987</v>
      </c>
      <c r="J97" s="132">
        <f>+'Tabel 2026 52 weken'!J97</f>
        <v>0.71199999999999997</v>
      </c>
      <c r="K97" s="130"/>
      <c r="L97" s="223">
        <f t="shared" si="2"/>
        <v>0</v>
      </c>
      <c r="M97" s="222"/>
      <c r="N97" s="223">
        <f t="shared" si="3"/>
        <v>4.0142399999999991</v>
      </c>
    </row>
    <row r="98" spans="1:14" ht="15" x14ac:dyDescent="0.2">
      <c r="A98" s="194">
        <f>+'Tabel 2026 52 weken'!A98</f>
        <v>224027</v>
      </c>
      <c r="B98" s="194">
        <f>+'Tabel 2026 52 weken'!B98</f>
        <v>227915</v>
      </c>
      <c r="D98" s="131">
        <f>+'Tabel 2026 52 weken'!D98</f>
        <v>0.36499999999999999</v>
      </c>
      <c r="E98" s="129"/>
      <c r="F98" s="221">
        <f t="shared" ref="F98:F101" si="4">IF($D$19&gt;=$F$28,($F$28*(100%-D98))+($F$19),$D$19*(100%-D98)+$F$19)</f>
        <v>0</v>
      </c>
      <c r="G98" s="220"/>
      <c r="H98" s="221">
        <f t="shared" ref="H98:H101" si="5">IF($D$20&gt;=$H$28,($H$28*(100%-D98))+($F$20),$D$20*(100%-D98)+($F$20))</f>
        <v>7.4772999999999987</v>
      </c>
      <c r="J98" s="132">
        <f>+'Tabel 2026 52 weken'!J98</f>
        <v>0.70399999999999996</v>
      </c>
      <c r="K98" s="130"/>
      <c r="L98" s="223">
        <f t="shared" ref="L98:L101" si="6">IF($D$19&gt;=$L$28,($L$28*(100%-J98))+(F$19),$D$19*(100%-J98)+$F$19)</f>
        <v>0</v>
      </c>
      <c r="M98" s="222"/>
      <c r="N98" s="223">
        <f t="shared" ref="N98:N101" si="7">IF($D$20&gt;=$H$28,($H$28*(100%-J98))+($F$20),$D$20*(100%-J98)+($F$20))</f>
        <v>4.0940799999999999</v>
      </c>
    </row>
    <row r="99" spans="1:14" ht="15" x14ac:dyDescent="0.2">
      <c r="A99" s="194">
        <f>+'Tabel 2026 52 weken'!A99</f>
        <v>227916</v>
      </c>
      <c r="B99" s="194">
        <f>+'Tabel 2026 52 weken'!B99</f>
        <v>231807</v>
      </c>
      <c r="D99" s="131">
        <f>+'Tabel 2026 52 weken'!D99</f>
        <v>0.36499999999999999</v>
      </c>
      <c r="E99" s="129"/>
      <c r="F99" s="221">
        <f t="shared" si="4"/>
        <v>0</v>
      </c>
      <c r="G99" s="220"/>
      <c r="H99" s="221">
        <f t="shared" si="5"/>
        <v>7.4772999999999987</v>
      </c>
      <c r="J99" s="132">
        <f>+'Tabel 2026 52 weken'!J99</f>
        <v>0.69599999999999995</v>
      </c>
      <c r="K99" s="130"/>
      <c r="L99" s="223">
        <f t="shared" si="6"/>
        <v>0</v>
      </c>
      <c r="M99" s="222"/>
      <c r="N99" s="223">
        <f t="shared" si="7"/>
        <v>4.173919999999999</v>
      </c>
    </row>
    <row r="100" spans="1:14" ht="15" x14ac:dyDescent="0.2">
      <c r="A100" s="194">
        <f>+'Tabel 2026 52 weken'!A100</f>
        <v>231808</v>
      </c>
      <c r="B100" s="194">
        <f>+'Tabel 2026 52 weken'!B100</f>
        <v>235697</v>
      </c>
      <c r="D100" s="131">
        <f>+'Tabel 2026 52 weken'!D100</f>
        <v>0.36499999999999999</v>
      </c>
      <c r="E100" s="129"/>
      <c r="F100" s="221">
        <f t="shared" si="4"/>
        <v>0</v>
      </c>
      <c r="G100" s="220"/>
      <c r="H100" s="221">
        <f t="shared" si="5"/>
        <v>7.4772999999999987</v>
      </c>
      <c r="J100" s="132">
        <f>+'Tabel 2026 52 weken'!J100</f>
        <v>0.69099999999999995</v>
      </c>
      <c r="K100" s="130"/>
      <c r="L100" s="223">
        <f t="shared" si="6"/>
        <v>0</v>
      </c>
      <c r="M100" s="222"/>
      <c r="N100" s="223">
        <f t="shared" si="7"/>
        <v>4.2238199999999999</v>
      </c>
    </row>
    <row r="101" spans="1:14" ht="15" x14ac:dyDescent="0.2">
      <c r="A101" s="194">
        <f>+'Tabel 2026 52 weken'!A101</f>
        <v>235698</v>
      </c>
      <c r="B101" s="194" t="str">
        <f>+'Tabel 2026 52 weken'!B101</f>
        <v>en hoger</v>
      </c>
      <c r="D101" s="131">
        <f>+'Tabel 2026 52 weken'!D101</f>
        <v>0.36499999999999999</v>
      </c>
      <c r="E101" s="129"/>
      <c r="F101" s="221">
        <f t="shared" si="4"/>
        <v>0</v>
      </c>
      <c r="G101" s="220"/>
      <c r="H101" s="221">
        <f t="shared" si="5"/>
        <v>7.4772999999999987</v>
      </c>
      <c r="J101" s="132">
        <f>+'Tabel 2026 52 weken'!J101</f>
        <v>0.68200000000000005</v>
      </c>
      <c r="K101" s="130"/>
      <c r="L101" s="223">
        <f t="shared" si="6"/>
        <v>0</v>
      </c>
      <c r="M101" s="222"/>
      <c r="N101" s="223">
        <f t="shared" si="7"/>
        <v>4.3136399999999986</v>
      </c>
    </row>
    <row r="103" spans="1:14" x14ac:dyDescent="0.2">
      <c r="F103" s="69">
        <f>SUM(F33:F101)</f>
        <v>0</v>
      </c>
      <c r="H103" s="69">
        <f>SUM(H33:H101)</f>
        <v>301.08425999999992</v>
      </c>
      <c r="J103" s="69"/>
      <c r="L103" s="69">
        <f>SUM(L33:L101)</f>
        <v>0</v>
      </c>
      <c r="N103" s="69">
        <f>SUM(N33:N101)</f>
        <v>165.47601999999992</v>
      </c>
    </row>
    <row r="104" spans="1:14" x14ac:dyDescent="0.2">
      <c r="A104" s="314">
        <f>+SUM(A33:B101)+SUM(D33:D101)+SUM(J33:J101)</f>
        <v>15483327.014</v>
      </c>
      <c r="B104" s="314"/>
    </row>
    <row r="105" spans="1:14" x14ac:dyDescent="0.2">
      <c r="A105" s="96"/>
    </row>
    <row r="106" spans="1:14" x14ac:dyDescent="0.2">
      <c r="A106" s="96"/>
    </row>
    <row r="110" spans="1:14" ht="15.75" x14ac:dyDescent="0.2">
      <c r="A110" s="125"/>
      <c r="B110" s="126"/>
      <c r="C110" s="124"/>
      <c r="D110" s="124"/>
    </row>
    <row r="111" spans="1:14" ht="15.75" x14ac:dyDescent="0.2">
      <c r="A111" s="126"/>
      <c r="B111" s="126"/>
      <c r="C111" s="124"/>
      <c r="D111" s="124"/>
    </row>
    <row r="112" spans="1:14" ht="15.75" x14ac:dyDescent="0.2">
      <c r="A112" s="126"/>
      <c r="B112" s="126"/>
      <c r="C112" s="124"/>
      <c r="D112" s="124"/>
    </row>
    <row r="113" spans="1:10" ht="15.75" x14ac:dyDescent="0.2">
      <c r="A113" s="126"/>
      <c r="B113" s="126"/>
      <c r="C113" s="124"/>
      <c r="D113" s="124"/>
    </row>
    <row r="114" spans="1:10" ht="15.75" x14ac:dyDescent="0.2">
      <c r="A114" s="126"/>
      <c r="B114" s="126"/>
      <c r="C114" s="124"/>
      <c r="D114" s="124"/>
    </row>
    <row r="115" spans="1:10" ht="15.75" x14ac:dyDescent="0.2">
      <c r="A115" s="126"/>
      <c r="B115" s="126"/>
      <c r="C115" s="124"/>
      <c r="D115" s="124"/>
      <c r="F115"/>
      <c r="H115"/>
      <c r="J115"/>
    </row>
    <row r="116" spans="1:10" ht="15.75" x14ac:dyDescent="0.2">
      <c r="A116" s="126"/>
      <c r="B116" s="126"/>
      <c r="C116" s="124"/>
      <c r="D116" s="124"/>
      <c r="F116"/>
      <c r="H116"/>
      <c r="J116"/>
    </row>
    <row r="117" spans="1:10" ht="15.75" x14ac:dyDescent="0.2">
      <c r="A117" s="126"/>
      <c r="B117" s="126"/>
      <c r="C117" s="124"/>
      <c r="D117" s="124"/>
      <c r="F117"/>
      <c r="H117"/>
      <c r="J117"/>
    </row>
    <row r="118" spans="1:10" ht="15.75" x14ac:dyDescent="0.2">
      <c r="A118" s="126"/>
      <c r="B118" s="126"/>
      <c r="C118" s="124"/>
      <c r="D118" s="124"/>
      <c r="F118"/>
      <c r="H118"/>
      <c r="J118"/>
    </row>
    <row r="119" spans="1:10" ht="15.75" x14ac:dyDescent="0.2">
      <c r="A119" s="126"/>
      <c r="B119" s="126"/>
      <c r="C119" s="124"/>
      <c r="D119" s="124"/>
      <c r="F119"/>
      <c r="H119"/>
      <c r="J119"/>
    </row>
    <row r="120" spans="1:10" ht="15.75" x14ac:dyDescent="0.2">
      <c r="A120" s="126"/>
      <c r="B120" s="126"/>
      <c r="C120" s="124"/>
      <c r="D120" s="124"/>
      <c r="F120"/>
      <c r="H120"/>
      <c r="J120"/>
    </row>
    <row r="121" spans="1:10" ht="15.75" x14ac:dyDescent="0.2">
      <c r="A121" s="126"/>
      <c r="B121" s="126"/>
      <c r="C121" s="124"/>
      <c r="D121" s="124"/>
      <c r="F121"/>
      <c r="H121"/>
      <c r="J121"/>
    </row>
    <row r="122" spans="1:10" ht="15.75" x14ac:dyDescent="0.2">
      <c r="A122" s="126"/>
      <c r="B122" s="126"/>
      <c r="C122" s="124"/>
      <c r="D122" s="124"/>
      <c r="F122"/>
      <c r="H122"/>
      <c r="J122"/>
    </row>
    <row r="123" spans="1:10" ht="15.75" x14ac:dyDescent="0.2">
      <c r="A123" s="126"/>
      <c r="B123" s="126"/>
      <c r="C123" s="124"/>
      <c r="D123" s="124"/>
      <c r="F123"/>
      <c r="H123"/>
      <c r="J123"/>
    </row>
    <row r="124" spans="1:10" ht="15.75" x14ac:dyDescent="0.2">
      <c r="A124" s="126"/>
      <c r="B124" s="126"/>
      <c r="C124" s="124"/>
      <c r="D124" s="124"/>
      <c r="F124"/>
      <c r="H124"/>
      <c r="J124"/>
    </row>
    <row r="125" spans="1:10" ht="15.75" x14ac:dyDescent="0.2">
      <c r="A125" s="126"/>
      <c r="B125" s="126"/>
      <c r="C125" s="124"/>
      <c r="D125" s="124"/>
      <c r="F125"/>
      <c r="H125"/>
      <c r="J125"/>
    </row>
    <row r="126" spans="1:10" ht="15.75" x14ac:dyDescent="0.2">
      <c r="A126" s="126"/>
      <c r="B126" s="126"/>
      <c r="C126" s="124"/>
      <c r="D126" s="124"/>
      <c r="F126"/>
      <c r="H126"/>
      <c r="J126"/>
    </row>
    <row r="127" spans="1:10" ht="15.75" x14ac:dyDescent="0.2">
      <c r="A127" s="126"/>
      <c r="B127" s="126"/>
      <c r="C127" s="124"/>
      <c r="D127" s="124"/>
      <c r="F127"/>
      <c r="H127"/>
      <c r="J127"/>
    </row>
    <row r="128" spans="1:10" ht="15.75" x14ac:dyDescent="0.2">
      <c r="A128" s="126"/>
      <c r="B128" s="126"/>
      <c r="C128" s="124"/>
      <c r="D128" s="124"/>
      <c r="F128"/>
      <c r="H128"/>
      <c r="J128"/>
    </row>
    <row r="129" spans="1:10" ht="15.75" x14ac:dyDescent="0.2">
      <c r="A129" s="126"/>
      <c r="B129" s="126"/>
      <c r="C129" s="124"/>
      <c r="D129" s="124"/>
      <c r="F129"/>
      <c r="H129"/>
      <c r="J129"/>
    </row>
    <row r="130" spans="1:10" ht="15.75" x14ac:dyDescent="0.2">
      <c r="A130" s="126"/>
      <c r="B130" s="126"/>
      <c r="C130" s="124"/>
      <c r="D130" s="124"/>
      <c r="F130"/>
      <c r="H130"/>
      <c r="J130"/>
    </row>
    <row r="131" spans="1:10" ht="15.75" x14ac:dyDescent="0.2">
      <c r="A131" s="126"/>
      <c r="B131" s="126"/>
      <c r="C131" s="124"/>
      <c r="D131" s="124"/>
      <c r="F131"/>
      <c r="H131"/>
      <c r="J131"/>
    </row>
    <row r="132" spans="1:10" ht="15.75" x14ac:dyDescent="0.2">
      <c r="A132" s="126"/>
      <c r="B132" s="126"/>
      <c r="C132" s="124"/>
      <c r="D132" s="124"/>
      <c r="F132"/>
      <c r="H132"/>
      <c r="J132"/>
    </row>
    <row r="133" spans="1:10" ht="15.75" x14ac:dyDescent="0.2">
      <c r="A133" s="126"/>
      <c r="B133" s="126"/>
      <c r="C133" s="124"/>
      <c r="D133" s="124"/>
      <c r="F133"/>
      <c r="H133"/>
      <c r="J133"/>
    </row>
    <row r="134" spans="1:10" ht="15.75" x14ac:dyDescent="0.2">
      <c r="A134" s="126"/>
      <c r="B134" s="126"/>
      <c r="C134" s="124"/>
      <c r="D134" s="124"/>
      <c r="F134"/>
      <c r="H134"/>
      <c r="J134"/>
    </row>
    <row r="135" spans="1:10" ht="15.75" x14ac:dyDescent="0.2">
      <c r="A135" s="126"/>
      <c r="B135" s="126"/>
      <c r="C135" s="124"/>
      <c r="D135" s="124"/>
      <c r="F135"/>
      <c r="H135"/>
      <c r="J135"/>
    </row>
    <row r="136" spans="1:10" ht="15.75" x14ac:dyDescent="0.2">
      <c r="A136" s="126"/>
      <c r="B136" s="126"/>
      <c r="C136" s="124"/>
      <c r="D136" s="124"/>
      <c r="F136"/>
      <c r="H136"/>
      <c r="J136"/>
    </row>
    <row r="137" spans="1:10" ht="15.75" x14ac:dyDescent="0.2">
      <c r="A137" s="126"/>
      <c r="B137" s="126"/>
      <c r="C137" s="124"/>
      <c r="D137" s="124"/>
      <c r="F137"/>
      <c r="H137"/>
      <c r="J137"/>
    </row>
    <row r="138" spans="1:10" ht="15.75" x14ac:dyDescent="0.2">
      <c r="A138" s="126"/>
      <c r="B138" s="126"/>
      <c r="C138" s="124"/>
      <c r="D138" s="124"/>
      <c r="F138"/>
      <c r="H138"/>
      <c r="J138"/>
    </row>
    <row r="139" spans="1:10" ht="15.75" x14ac:dyDescent="0.2">
      <c r="A139" s="126"/>
      <c r="B139" s="126"/>
      <c r="C139" s="124"/>
      <c r="D139" s="124"/>
      <c r="F139"/>
      <c r="H139"/>
      <c r="J139"/>
    </row>
    <row r="140" spans="1:10" ht="15.75" x14ac:dyDescent="0.2">
      <c r="A140" s="126"/>
      <c r="B140" s="126"/>
      <c r="C140" s="124"/>
      <c r="D140" s="124"/>
      <c r="F140"/>
      <c r="H140"/>
      <c r="J140"/>
    </row>
    <row r="141" spans="1:10" ht="15.75" x14ac:dyDescent="0.2">
      <c r="A141" s="126"/>
      <c r="B141" s="126"/>
      <c r="C141" s="124"/>
      <c r="D141" s="124"/>
      <c r="F141"/>
      <c r="H141"/>
      <c r="J141"/>
    </row>
    <row r="142" spans="1:10" ht="15.75" x14ac:dyDescent="0.2">
      <c r="A142" s="126"/>
      <c r="B142" s="126"/>
      <c r="C142" s="124"/>
      <c r="D142" s="124"/>
      <c r="F142"/>
      <c r="H142"/>
      <c r="J142"/>
    </row>
    <row r="143" spans="1:10" ht="15.75" x14ac:dyDescent="0.2">
      <c r="A143" s="126"/>
      <c r="B143" s="126"/>
      <c r="C143" s="124"/>
      <c r="D143" s="124"/>
      <c r="F143"/>
      <c r="H143"/>
      <c r="J143"/>
    </row>
    <row r="144" spans="1:10" ht="15.75" x14ac:dyDescent="0.2">
      <c r="A144" s="126"/>
      <c r="B144" s="126"/>
      <c r="C144" s="124"/>
      <c r="D144" s="124"/>
      <c r="F144"/>
      <c r="H144"/>
      <c r="J144"/>
    </row>
    <row r="145" spans="1:10" ht="15.75" x14ac:dyDescent="0.2">
      <c r="A145" s="126"/>
      <c r="B145" s="126"/>
      <c r="C145" s="124"/>
      <c r="D145" s="124"/>
      <c r="F145"/>
      <c r="H145"/>
      <c r="J145"/>
    </row>
    <row r="146" spans="1:10" ht="15.75" x14ac:dyDescent="0.2">
      <c r="A146" s="126"/>
      <c r="B146" s="126"/>
      <c r="C146" s="124"/>
      <c r="D146" s="124"/>
      <c r="F146"/>
      <c r="H146"/>
      <c r="J146"/>
    </row>
    <row r="147" spans="1:10" ht="15.75" x14ac:dyDescent="0.2">
      <c r="A147" s="126"/>
      <c r="B147" s="126"/>
      <c r="C147" s="124"/>
      <c r="D147" s="124"/>
      <c r="F147"/>
      <c r="H147"/>
      <c r="J147"/>
    </row>
    <row r="148" spans="1:10" ht="15.75" x14ac:dyDescent="0.2">
      <c r="A148" s="126"/>
      <c r="B148" s="126"/>
      <c r="C148" s="124"/>
      <c r="D148" s="124"/>
      <c r="F148"/>
      <c r="H148"/>
      <c r="J148"/>
    </row>
    <row r="149" spans="1:10" ht="15.75" x14ac:dyDescent="0.2">
      <c r="A149" s="126"/>
      <c r="B149" s="126"/>
      <c r="C149" s="124"/>
      <c r="D149" s="124"/>
      <c r="F149"/>
      <c r="H149"/>
      <c r="J149"/>
    </row>
    <row r="150" spans="1:10" ht="15.75" x14ac:dyDescent="0.2">
      <c r="A150" s="127"/>
      <c r="B150" s="128"/>
      <c r="C150" s="124"/>
      <c r="D150" s="124"/>
      <c r="F150"/>
      <c r="H150"/>
      <c r="J150"/>
    </row>
    <row r="151" spans="1:10" ht="15.75" x14ac:dyDescent="0.2">
      <c r="A151" s="128"/>
      <c r="B151" s="128"/>
      <c r="C151" s="124"/>
      <c r="D151" s="124"/>
      <c r="F151"/>
      <c r="H151"/>
      <c r="J151"/>
    </row>
    <row r="152" spans="1:10" ht="15.75" x14ac:dyDescent="0.2">
      <c r="A152" s="128"/>
      <c r="B152" s="128"/>
      <c r="C152" s="124"/>
      <c r="D152" s="124"/>
      <c r="F152"/>
      <c r="H152"/>
      <c r="J152"/>
    </row>
    <row r="153" spans="1:10" ht="15.75" x14ac:dyDescent="0.2">
      <c r="A153" s="128"/>
      <c r="B153" s="128"/>
      <c r="C153" s="124"/>
      <c r="D153" s="124"/>
      <c r="F153"/>
      <c r="H153"/>
      <c r="J153"/>
    </row>
    <row r="154" spans="1:10" ht="15.75" x14ac:dyDescent="0.2">
      <c r="A154" s="128"/>
      <c r="B154" s="128"/>
      <c r="C154" s="124"/>
      <c r="D154" s="124"/>
      <c r="F154"/>
      <c r="H154"/>
      <c r="J154"/>
    </row>
    <row r="155" spans="1:10" ht="15.75" x14ac:dyDescent="0.2">
      <c r="A155" s="128"/>
      <c r="B155" s="128"/>
      <c r="C155" s="124"/>
      <c r="D155" s="124"/>
      <c r="F155"/>
      <c r="H155"/>
      <c r="J155"/>
    </row>
    <row r="156" spans="1:10" ht="15.75" x14ac:dyDescent="0.2">
      <c r="A156" s="128"/>
      <c r="B156" s="128"/>
      <c r="C156" s="124"/>
      <c r="D156" s="124"/>
      <c r="F156"/>
      <c r="H156"/>
      <c r="J156"/>
    </row>
    <row r="157" spans="1:10" ht="15.75" x14ac:dyDescent="0.2">
      <c r="A157" s="128"/>
      <c r="B157" s="128"/>
      <c r="C157" s="124"/>
      <c r="D157" s="124"/>
      <c r="F157"/>
      <c r="H157"/>
      <c r="J157"/>
    </row>
    <row r="158" spans="1:10" ht="15.75" x14ac:dyDescent="0.2">
      <c r="A158" s="128"/>
      <c r="B158" s="128"/>
      <c r="C158" s="124"/>
      <c r="D158" s="124"/>
      <c r="F158"/>
      <c r="H158"/>
      <c r="J158"/>
    </row>
    <row r="159" spans="1:10" ht="15.75" x14ac:dyDescent="0.2">
      <c r="A159" s="128"/>
      <c r="B159" s="128"/>
      <c r="C159" s="124"/>
      <c r="D159" s="124"/>
      <c r="F159"/>
      <c r="H159"/>
      <c r="J159"/>
    </row>
    <row r="160" spans="1:10" ht="15.75" x14ac:dyDescent="0.2">
      <c r="A160" s="128"/>
      <c r="B160" s="128"/>
      <c r="C160" s="124"/>
      <c r="D160" s="124"/>
      <c r="F160"/>
      <c r="H160"/>
      <c r="J160"/>
    </row>
    <row r="161" spans="1:10" ht="15.75" x14ac:dyDescent="0.2">
      <c r="A161" s="128"/>
      <c r="B161" s="128"/>
      <c r="C161" s="124"/>
      <c r="D161" s="124"/>
      <c r="F161"/>
      <c r="H161"/>
      <c r="J161"/>
    </row>
    <row r="162" spans="1:10" ht="15.75" x14ac:dyDescent="0.2">
      <c r="A162" s="128"/>
      <c r="B162" s="128"/>
      <c r="C162" s="124"/>
      <c r="D162" s="124"/>
      <c r="F162"/>
      <c r="H162"/>
      <c r="J162"/>
    </row>
    <row r="163" spans="1:10" ht="15.75" x14ac:dyDescent="0.2">
      <c r="A163" s="128"/>
      <c r="B163" s="128"/>
      <c r="C163" s="124"/>
      <c r="D163" s="124"/>
      <c r="F163"/>
      <c r="H163"/>
      <c r="J163"/>
    </row>
    <row r="164" spans="1:10" ht="15.75" x14ac:dyDescent="0.2">
      <c r="A164" s="128"/>
      <c r="B164" s="128"/>
      <c r="C164" s="124"/>
      <c r="D164" s="124"/>
      <c r="F164"/>
      <c r="H164"/>
      <c r="J164"/>
    </row>
    <row r="165" spans="1:10" ht="15.75" x14ac:dyDescent="0.2">
      <c r="A165" s="128"/>
      <c r="B165" s="128"/>
      <c r="C165" s="124"/>
      <c r="D165" s="124"/>
      <c r="F165"/>
      <c r="H165"/>
      <c r="J165"/>
    </row>
    <row r="166" spans="1:10" ht="15.75" x14ac:dyDescent="0.2">
      <c r="A166" s="128"/>
      <c r="B166" s="128"/>
      <c r="C166" s="124"/>
      <c r="D166" s="124"/>
      <c r="F166"/>
      <c r="H166"/>
      <c r="J166"/>
    </row>
    <row r="167" spans="1:10" ht="15.75" x14ac:dyDescent="0.2">
      <c r="A167" s="128"/>
      <c r="B167" s="127"/>
      <c r="C167" s="124"/>
      <c r="D167" s="124"/>
      <c r="F167"/>
      <c r="H167"/>
      <c r="J167"/>
    </row>
    <row r="168" spans="1:10" ht="15.75" x14ac:dyDescent="0.2">
      <c r="A168" s="128"/>
      <c r="B168" s="128"/>
      <c r="C168" s="124"/>
      <c r="D168" s="124"/>
      <c r="F168"/>
      <c r="H168"/>
      <c r="J168"/>
    </row>
    <row r="169" spans="1:10" ht="15.75" x14ac:dyDescent="0.2">
      <c r="A169" s="128"/>
      <c r="B169" s="128"/>
      <c r="C169" s="124"/>
      <c r="D169" s="124"/>
      <c r="F169"/>
      <c r="H169"/>
      <c r="J169"/>
    </row>
    <row r="170" spans="1:10" ht="15.75" x14ac:dyDescent="0.2">
      <c r="A170" s="128"/>
      <c r="B170" s="128"/>
      <c r="C170" s="124"/>
      <c r="D170" s="124"/>
      <c r="F170"/>
      <c r="H170"/>
      <c r="J170"/>
    </row>
    <row r="171" spans="1:10" ht="15.75" x14ac:dyDescent="0.2">
      <c r="A171" s="128"/>
      <c r="B171" s="128"/>
      <c r="C171" s="124"/>
      <c r="D171" s="124"/>
      <c r="F171"/>
      <c r="H171"/>
      <c r="J171"/>
    </row>
    <row r="172" spans="1:10" ht="15.75" x14ac:dyDescent="0.2">
      <c r="A172" s="128"/>
      <c r="B172" s="128"/>
      <c r="C172" s="124"/>
      <c r="D172" s="124"/>
      <c r="F172"/>
      <c r="H172"/>
      <c r="J172"/>
    </row>
    <row r="173" spans="1:10" ht="15.75" x14ac:dyDescent="0.2">
      <c r="A173" s="128"/>
      <c r="B173" s="128"/>
      <c r="C173" s="124"/>
      <c r="D173" s="124"/>
      <c r="F173"/>
      <c r="H173"/>
      <c r="J173"/>
    </row>
    <row r="174" spans="1:10" ht="15.75" x14ac:dyDescent="0.2">
      <c r="A174" s="128"/>
      <c r="B174" s="128"/>
      <c r="C174" s="124"/>
      <c r="D174" s="124"/>
      <c r="F174"/>
      <c r="H174"/>
      <c r="J174"/>
    </row>
    <row r="175" spans="1:10" ht="15.75" x14ac:dyDescent="0.2">
      <c r="A175" s="128"/>
      <c r="B175" s="128"/>
      <c r="C175" s="124"/>
      <c r="D175" s="124"/>
      <c r="F175"/>
      <c r="H175"/>
      <c r="J175"/>
    </row>
    <row r="176" spans="1:10" ht="15.75" x14ac:dyDescent="0.2">
      <c r="A176" s="128"/>
      <c r="B176" s="128"/>
      <c r="C176" s="124"/>
      <c r="D176" s="124"/>
      <c r="F176"/>
      <c r="H176"/>
      <c r="J176"/>
    </row>
    <row r="177" spans="1:10" ht="15.75" x14ac:dyDescent="0.2">
      <c r="A177" s="128"/>
      <c r="B177" s="128"/>
      <c r="C177" s="124"/>
      <c r="D177" s="124"/>
      <c r="F177"/>
      <c r="H177"/>
      <c r="J177"/>
    </row>
    <row r="178" spans="1:10" ht="15.75" x14ac:dyDescent="0.2">
      <c r="A178" s="128"/>
      <c r="B178" s="125"/>
      <c r="C178" s="124"/>
      <c r="D178" s="124"/>
      <c r="F178"/>
      <c r="H178"/>
      <c r="J178"/>
    </row>
  </sheetData>
  <mergeCells count="4">
    <mergeCell ref="A24:B24"/>
    <mergeCell ref="D24:H24"/>
    <mergeCell ref="J24:N24"/>
    <mergeCell ref="A104:B10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178"/>
  <sheetViews>
    <sheetView topLeftCell="A4" workbookViewId="0">
      <pane ySplit="13" topLeftCell="A17" activePane="bottomLeft" state="frozen"/>
      <selection activeCell="A4" sqref="A4"/>
      <selection pane="bottomLeft" activeCell="A4" sqref="A1:O1048576"/>
    </sheetView>
  </sheetViews>
  <sheetFormatPr defaultRowHeight="12.75" x14ac:dyDescent="0.2"/>
  <cols>
    <col min="1" max="2" width="12" style="67" customWidth="1"/>
    <col min="3" max="3" width="2.7109375" customWidth="1"/>
    <col min="4" max="4" width="12" style="68" customWidth="1"/>
    <col min="5" max="5" width="2.7109375" customWidth="1"/>
    <col min="6" max="6" width="12" style="69" customWidth="1"/>
    <col min="7" max="7" width="2.7109375" customWidth="1"/>
    <col min="8" max="8" width="12" style="69" customWidth="1"/>
    <col min="9" max="9" width="2.7109375" customWidth="1"/>
    <col min="10" max="10" width="12" style="68" customWidth="1"/>
    <col min="11" max="11" width="2.7109375" customWidth="1"/>
    <col min="12" max="12" width="12" customWidth="1"/>
    <col min="13" max="13" width="2.7109375" customWidth="1"/>
    <col min="14" max="14" width="12" customWidth="1"/>
  </cols>
  <sheetData>
    <row r="1" spans="1:2" customFormat="1" ht="19.5" x14ac:dyDescent="0.25">
      <c r="A1" s="64" t="s">
        <v>24</v>
      </c>
    </row>
    <row r="2" spans="1:2" customFormat="1" x14ac:dyDescent="0.2">
      <c r="A2" t="s">
        <v>25</v>
      </c>
    </row>
    <row r="3" spans="1:2" customFormat="1" x14ac:dyDescent="0.2"/>
    <row r="4" spans="1:2" customFormat="1" x14ac:dyDescent="0.2"/>
    <row r="5" spans="1:2" customFormat="1" ht="14.25" x14ac:dyDescent="0.2">
      <c r="A5" s="65" t="s">
        <v>26</v>
      </c>
    </row>
    <row r="6" spans="1:2" customFormat="1" x14ac:dyDescent="0.2"/>
    <row r="7" spans="1:2" customFormat="1" ht="15" x14ac:dyDescent="0.2">
      <c r="A7" s="66" t="s">
        <v>27</v>
      </c>
      <c r="B7" t="s">
        <v>28</v>
      </c>
    </row>
    <row r="8" spans="1:2" customFormat="1" ht="15" x14ac:dyDescent="0.2">
      <c r="A8" s="66" t="s">
        <v>29</v>
      </c>
      <c r="B8" t="s">
        <v>30</v>
      </c>
    </row>
    <row r="9" spans="1:2" customFormat="1" ht="15" x14ac:dyDescent="0.2">
      <c r="A9" s="66"/>
      <c r="B9" t="s">
        <v>31</v>
      </c>
    </row>
    <row r="10" spans="1:2" customFormat="1" ht="15" x14ac:dyDescent="0.2">
      <c r="A10" s="66"/>
      <c r="B10" t="s">
        <v>32</v>
      </c>
    </row>
    <row r="11" spans="1:2" customFormat="1" ht="15" x14ac:dyDescent="0.2">
      <c r="A11" s="66"/>
      <c r="B11" t="s">
        <v>131</v>
      </c>
    </row>
    <row r="12" spans="1:2" customFormat="1" ht="15" x14ac:dyDescent="0.2">
      <c r="A12" s="66" t="s">
        <v>33</v>
      </c>
      <c r="B12" t="s">
        <v>34</v>
      </c>
    </row>
    <row r="13" spans="1:2" customFormat="1" x14ac:dyDescent="0.2">
      <c r="B13" t="s">
        <v>31</v>
      </c>
    </row>
    <row r="14" spans="1:2" customFormat="1" x14ac:dyDescent="0.2">
      <c r="B14" t="s">
        <v>32</v>
      </c>
    </row>
    <row r="15" spans="1:2" customFormat="1" x14ac:dyDescent="0.2">
      <c r="B15" t="s">
        <v>131</v>
      </c>
    </row>
    <row r="16" spans="1:2" customFormat="1" x14ac:dyDescent="0.2"/>
    <row r="17" spans="1:14" x14ac:dyDescent="0.2">
      <c r="A17" s="75"/>
      <c r="B17"/>
      <c r="D17"/>
      <c r="F17"/>
      <c r="H17"/>
      <c r="J17"/>
    </row>
    <row r="18" spans="1:14" x14ac:dyDescent="0.2">
      <c r="F18" s="69" t="s">
        <v>35</v>
      </c>
      <c r="J18" s="70"/>
    </row>
    <row r="19" spans="1:14" x14ac:dyDescent="0.2">
      <c r="A19" s="69" t="s">
        <v>36</v>
      </c>
      <c r="D19" s="69">
        <f>+'Tabel 2026 52 weken'!$D$19</f>
        <v>11.23</v>
      </c>
      <c r="F19" s="178">
        <f>IF(F28-D19&gt;0,F28-D19,0)</f>
        <v>0</v>
      </c>
      <c r="L19" s="71"/>
      <c r="N19" s="69"/>
    </row>
    <row r="20" spans="1:14" x14ac:dyDescent="0.2">
      <c r="A20" s="69" t="s">
        <v>37</v>
      </c>
      <c r="D20" s="69">
        <f>+'Tabel 2026 52 weken'!$D$20</f>
        <v>9.98</v>
      </c>
      <c r="F20" s="178">
        <f>IF(H28-D20&gt;0,H28-D20,0)</f>
        <v>0</v>
      </c>
      <c r="N20" s="69"/>
    </row>
    <row r="21" spans="1:14" x14ac:dyDescent="0.2">
      <c r="A21" s="69"/>
      <c r="D21" s="69"/>
      <c r="N21" s="69"/>
    </row>
    <row r="22" spans="1:14" x14ac:dyDescent="0.2">
      <c r="A22" s="69"/>
      <c r="B22" s="187"/>
      <c r="D22" s="69"/>
      <c r="N22" s="69"/>
    </row>
    <row r="23" spans="1:14" x14ac:dyDescent="0.2">
      <c r="A23" s="69"/>
      <c r="B23" s="188"/>
      <c r="D23" s="69"/>
      <c r="N23" s="69"/>
    </row>
    <row r="24" spans="1:14" ht="15" x14ac:dyDescent="0.2">
      <c r="A24" s="315" t="s">
        <v>38</v>
      </c>
      <c r="B24" s="315"/>
      <c r="D24" s="312" t="s">
        <v>39</v>
      </c>
      <c r="E24" s="312"/>
      <c r="F24" s="312"/>
      <c r="G24" s="312"/>
      <c r="H24" s="312"/>
      <c r="I24" s="72"/>
      <c r="J24" s="313" t="s">
        <v>40</v>
      </c>
      <c r="K24" s="313"/>
      <c r="L24" s="313"/>
      <c r="M24" s="313"/>
      <c r="N24" s="313"/>
    </row>
    <row r="25" spans="1:14" x14ac:dyDescent="0.2">
      <c r="A25" s="73" t="s">
        <v>41</v>
      </c>
      <c r="B25" s="73"/>
      <c r="D25" s="179" t="s">
        <v>42</v>
      </c>
      <c r="E25" s="74"/>
      <c r="F25" s="75"/>
      <c r="G25" s="74"/>
      <c r="H25" s="75"/>
      <c r="J25" s="180" t="s">
        <v>42</v>
      </c>
      <c r="K25" s="76"/>
      <c r="L25" s="76"/>
      <c r="M25" s="76"/>
      <c r="N25" s="76"/>
    </row>
    <row r="26" spans="1:14" x14ac:dyDescent="0.2">
      <c r="A26" s="73" t="s">
        <v>43</v>
      </c>
      <c r="B26" s="73"/>
      <c r="D26" s="179" t="s">
        <v>44</v>
      </c>
      <c r="E26" s="74"/>
      <c r="F26" s="77" t="s">
        <v>45</v>
      </c>
      <c r="G26" s="78"/>
      <c r="H26" s="77" t="s">
        <v>46</v>
      </c>
      <c r="J26" s="180" t="s">
        <v>44</v>
      </c>
      <c r="K26" s="76"/>
      <c r="L26" s="79" t="s">
        <v>47</v>
      </c>
      <c r="M26" s="76"/>
      <c r="N26" s="79" t="s">
        <v>48</v>
      </c>
    </row>
    <row r="27" spans="1:14" x14ac:dyDescent="0.2">
      <c r="A27" s="73"/>
      <c r="B27" s="73"/>
      <c r="D27" s="80"/>
      <c r="E27" s="74"/>
      <c r="F27" s="81" t="s">
        <v>50</v>
      </c>
      <c r="G27" s="82"/>
      <c r="H27" s="81" t="s">
        <v>51</v>
      </c>
      <c r="J27" s="83"/>
      <c r="K27" s="76"/>
      <c r="L27" s="84" t="s">
        <v>50</v>
      </c>
      <c r="M27" s="85"/>
      <c r="N27" s="84" t="s">
        <v>51</v>
      </c>
    </row>
    <row r="28" spans="1:14" x14ac:dyDescent="0.2">
      <c r="A28" s="73"/>
      <c r="B28" s="73"/>
      <c r="D28" s="80"/>
      <c r="E28" s="74"/>
      <c r="F28" s="75">
        <v>0</v>
      </c>
      <c r="G28" s="82"/>
      <c r="H28" s="75">
        <v>0</v>
      </c>
      <c r="J28" s="83"/>
      <c r="K28" s="76"/>
      <c r="L28" s="86">
        <f>F28</f>
        <v>0</v>
      </c>
      <c r="M28" s="76"/>
      <c r="N28" s="86">
        <f>H28</f>
        <v>0</v>
      </c>
    </row>
    <row r="29" spans="1:14" ht="13.5" thickBot="1" x14ac:dyDescent="0.25">
      <c r="A29" s="73"/>
      <c r="B29" s="73"/>
      <c r="D29" s="80"/>
      <c r="E29" s="74"/>
      <c r="F29" s="75"/>
      <c r="G29" s="74"/>
      <c r="H29" s="75"/>
      <c r="J29" s="83"/>
      <c r="K29" s="76"/>
      <c r="L29" s="76"/>
      <c r="M29" s="76"/>
      <c r="N29" s="76"/>
    </row>
    <row r="30" spans="1:14" x14ac:dyDescent="0.2">
      <c r="A30" s="87" t="s">
        <v>2</v>
      </c>
      <c r="B30" s="87" t="s">
        <v>3</v>
      </c>
      <c r="D30" s="181" t="s">
        <v>52</v>
      </c>
      <c r="E30" s="74"/>
      <c r="F30" s="88" t="s">
        <v>53</v>
      </c>
      <c r="G30" s="74"/>
      <c r="H30" s="88" t="s">
        <v>53</v>
      </c>
      <c r="J30" s="182" t="s">
        <v>54</v>
      </c>
      <c r="K30" s="76"/>
      <c r="L30" s="89" t="s">
        <v>53</v>
      </c>
      <c r="M30" s="76"/>
      <c r="N30" s="89" t="s">
        <v>53</v>
      </c>
    </row>
    <row r="31" spans="1:14" ht="13.5" thickBot="1" x14ac:dyDescent="0.25">
      <c r="A31" s="90"/>
      <c r="B31" s="90"/>
      <c r="D31" s="183" t="s">
        <v>55</v>
      </c>
      <c r="E31" s="74"/>
      <c r="F31" s="91" t="s">
        <v>56</v>
      </c>
      <c r="G31" s="74"/>
      <c r="H31" s="91" t="s">
        <v>56</v>
      </c>
      <c r="J31" s="184" t="s">
        <v>57</v>
      </c>
      <c r="K31" s="76"/>
      <c r="L31" s="92" t="s">
        <v>56</v>
      </c>
      <c r="M31" s="76"/>
      <c r="N31" s="92" t="s">
        <v>56</v>
      </c>
    </row>
    <row r="32" spans="1:14" x14ac:dyDescent="0.2">
      <c r="A32" s="73"/>
      <c r="B32" s="73"/>
      <c r="D32" s="80"/>
      <c r="E32" s="74"/>
      <c r="F32" s="75"/>
      <c r="G32" s="74"/>
      <c r="H32" s="75"/>
      <c r="J32" s="83"/>
      <c r="K32" s="76"/>
      <c r="L32" s="76"/>
      <c r="M32" s="76"/>
      <c r="N32" s="76"/>
    </row>
    <row r="33" spans="1:24" ht="15" x14ac:dyDescent="0.2">
      <c r="A33" s="175" t="str">
        <f>+'Tabel 2026 52 weken'!A33</f>
        <v>lager dan</v>
      </c>
      <c r="B33" s="175">
        <f>+'Tabel 2026 52 weken'!B33</f>
        <v>24149</v>
      </c>
      <c r="D33" s="131">
        <f>+'Tabel 2026 52 weken'!D33</f>
        <v>0.96</v>
      </c>
      <c r="E33" s="129"/>
      <c r="F33" s="221">
        <f>IF($D$19&gt;=$F$28,($F$28*(100%-D33))+($F$19),$D$19*(100%-D33)+$F$19)</f>
        <v>0</v>
      </c>
      <c r="G33" s="220"/>
      <c r="H33" s="221">
        <f>IF($D$20&gt;=$H$28,($H$28*(100%-D33))+($F$20),$D$20*(100%-D33)+($F$20))</f>
        <v>0</v>
      </c>
      <c r="J33" s="132">
        <f>+'Tabel 2026 52 weken'!J33</f>
        <v>0.96</v>
      </c>
      <c r="K33" s="130"/>
      <c r="L33" s="223">
        <f>IF($D$19&gt;=$L$28,($L$28*(100%-J33))+(F$19),$D$19*(100%-J33)+$F$19)</f>
        <v>0</v>
      </c>
      <c r="M33" s="222"/>
      <c r="N33" s="223">
        <f>IF($D$20&gt;=$H$28,($H$28*(100%-J33))+($F$20),$D$20*(100%-J33)+($F$20))</f>
        <v>0</v>
      </c>
      <c r="P33" s="185"/>
    </row>
    <row r="34" spans="1:24" ht="15" x14ac:dyDescent="0.2">
      <c r="A34" s="175">
        <f>+'Tabel 2026 52 weken'!A34</f>
        <v>24150</v>
      </c>
      <c r="B34" s="175">
        <f>+'Tabel 2026 52 weken'!B34</f>
        <v>25756</v>
      </c>
      <c r="D34" s="131">
        <f>+'Tabel 2026 52 weken'!D34</f>
        <v>0.96</v>
      </c>
      <c r="E34" s="129"/>
      <c r="F34" s="221">
        <f t="shared" ref="F34:F97" si="0">IF($D$19&gt;=$F$28,($F$28*(100%-D34))+($F$19),$D$19*(100%-D34)+$F$19)</f>
        <v>0</v>
      </c>
      <c r="G34" s="220"/>
      <c r="H34" s="221">
        <f t="shared" ref="H34:H97" si="1">IF($D$20&gt;=$H$28,($H$28*(100%-D34))+($F$20),$D$20*(100%-D34)+($F$20))</f>
        <v>0</v>
      </c>
      <c r="J34" s="132">
        <f>+'Tabel 2026 52 weken'!J34</f>
        <v>0.96</v>
      </c>
      <c r="K34" s="130"/>
      <c r="L34" s="223">
        <f t="shared" ref="L34:L97" si="2">IF($D$19&gt;=$L$28,($L$28*(100%-J34))+(F$19),$D$19*(100%-J34)+$F$19)</f>
        <v>0</v>
      </c>
      <c r="M34" s="222"/>
      <c r="N34" s="223">
        <f t="shared" ref="N34:N97" si="3">IF($D$20&gt;=$H$28,($H$28*(100%-J34))+($F$20),$D$20*(100%-J34)+($F$20))</f>
        <v>0</v>
      </c>
    </row>
    <row r="35" spans="1:24" ht="15" x14ac:dyDescent="0.2">
      <c r="A35" s="175">
        <f>+'Tabel 2026 52 weken'!A35</f>
        <v>25757</v>
      </c>
      <c r="B35" s="175">
        <f>+'Tabel 2026 52 weken'!B35</f>
        <v>27363</v>
      </c>
      <c r="D35" s="131">
        <f>+'Tabel 2026 52 weken'!D35</f>
        <v>0.96</v>
      </c>
      <c r="E35" s="129"/>
      <c r="F35" s="221">
        <f t="shared" si="0"/>
        <v>0</v>
      </c>
      <c r="G35" s="220"/>
      <c r="H35" s="221">
        <f t="shared" si="1"/>
        <v>0</v>
      </c>
      <c r="J35" s="132">
        <f>+'Tabel 2026 52 weken'!J35</f>
        <v>0.96</v>
      </c>
      <c r="K35" s="130"/>
      <c r="L35" s="223">
        <f t="shared" si="2"/>
        <v>0</v>
      </c>
      <c r="M35" s="222"/>
      <c r="N35" s="223">
        <f t="shared" si="3"/>
        <v>0</v>
      </c>
      <c r="R35" s="93"/>
    </row>
    <row r="36" spans="1:24" ht="15" x14ac:dyDescent="0.2">
      <c r="A36" s="175">
        <f>+'Tabel 2026 52 weken'!A36</f>
        <v>27364</v>
      </c>
      <c r="B36" s="175">
        <f>+'Tabel 2026 52 weken'!B36</f>
        <v>28973</v>
      </c>
      <c r="D36" s="131">
        <f>+'Tabel 2026 52 weken'!D36</f>
        <v>0.96</v>
      </c>
      <c r="E36" s="129"/>
      <c r="F36" s="221">
        <f t="shared" si="0"/>
        <v>0</v>
      </c>
      <c r="G36" s="220"/>
      <c r="H36" s="221">
        <f t="shared" si="1"/>
        <v>0</v>
      </c>
      <c r="J36" s="132">
        <f>+'Tabel 2026 52 weken'!J36</f>
        <v>0.96</v>
      </c>
      <c r="K36" s="130"/>
      <c r="L36" s="223">
        <f t="shared" si="2"/>
        <v>0</v>
      </c>
      <c r="M36" s="222"/>
      <c r="N36" s="223">
        <f t="shared" si="3"/>
        <v>0</v>
      </c>
    </row>
    <row r="37" spans="1:24" ht="15" x14ac:dyDescent="0.2">
      <c r="A37" s="175">
        <f>+'Tabel 2026 52 weken'!A37</f>
        <v>28974</v>
      </c>
      <c r="B37" s="175">
        <f>+'Tabel 2026 52 weken'!B37</f>
        <v>30579</v>
      </c>
      <c r="D37" s="131">
        <f>+'Tabel 2026 52 weken'!D37</f>
        <v>0.96</v>
      </c>
      <c r="E37" s="129"/>
      <c r="F37" s="221">
        <f t="shared" si="0"/>
        <v>0</v>
      </c>
      <c r="G37" s="220"/>
      <c r="H37" s="221">
        <f t="shared" si="1"/>
        <v>0</v>
      </c>
      <c r="J37" s="132">
        <f>+'Tabel 2026 52 weken'!J37</f>
        <v>0.96</v>
      </c>
      <c r="K37" s="130"/>
      <c r="L37" s="223">
        <f t="shared" si="2"/>
        <v>0</v>
      </c>
      <c r="M37" s="222"/>
      <c r="N37" s="223">
        <f t="shared" si="3"/>
        <v>0</v>
      </c>
    </row>
    <row r="38" spans="1:24" ht="15" x14ac:dyDescent="0.2">
      <c r="A38" s="175">
        <f>+'Tabel 2026 52 weken'!A38</f>
        <v>30580</v>
      </c>
      <c r="B38" s="175">
        <f>+'Tabel 2026 52 weken'!B38</f>
        <v>32189</v>
      </c>
      <c r="D38" s="131">
        <f>+'Tabel 2026 52 weken'!D38</f>
        <v>0.96</v>
      </c>
      <c r="E38" s="129"/>
      <c r="F38" s="221">
        <f t="shared" si="0"/>
        <v>0</v>
      </c>
      <c r="G38" s="220"/>
      <c r="H38" s="221">
        <f t="shared" si="1"/>
        <v>0</v>
      </c>
      <c r="J38" s="132">
        <f>+'Tabel 2026 52 weken'!J38</f>
        <v>0.96</v>
      </c>
      <c r="K38" s="130"/>
      <c r="L38" s="223">
        <f t="shared" si="2"/>
        <v>0</v>
      </c>
      <c r="M38" s="222"/>
      <c r="N38" s="223">
        <f t="shared" si="3"/>
        <v>0</v>
      </c>
    </row>
    <row r="39" spans="1:24" ht="15" x14ac:dyDescent="0.2">
      <c r="A39" s="175">
        <f>+'Tabel 2026 52 weken'!A39</f>
        <v>32190</v>
      </c>
      <c r="B39" s="175">
        <f>+'Tabel 2026 52 weken'!B39</f>
        <v>33795</v>
      </c>
      <c r="D39" s="131">
        <f>+'Tabel 2026 52 weken'!D39</f>
        <v>0.96</v>
      </c>
      <c r="E39" s="129"/>
      <c r="F39" s="221">
        <f t="shared" si="0"/>
        <v>0</v>
      </c>
      <c r="G39" s="220"/>
      <c r="H39" s="221">
        <f t="shared" si="1"/>
        <v>0</v>
      </c>
      <c r="J39" s="132">
        <f>+'Tabel 2026 52 weken'!J39</f>
        <v>0.96</v>
      </c>
      <c r="K39" s="130"/>
      <c r="L39" s="223">
        <f t="shared" si="2"/>
        <v>0</v>
      </c>
      <c r="M39" s="222"/>
      <c r="N39" s="223">
        <f t="shared" si="3"/>
        <v>0</v>
      </c>
    </row>
    <row r="40" spans="1:24" ht="15" x14ac:dyDescent="0.2">
      <c r="A40" s="175">
        <f>+'Tabel 2026 52 weken'!A40</f>
        <v>33796</v>
      </c>
      <c r="B40" s="175">
        <f>+'Tabel 2026 52 weken'!B40</f>
        <v>35400</v>
      </c>
      <c r="D40" s="131">
        <f>+'Tabel 2026 52 weken'!D40</f>
        <v>0.96</v>
      </c>
      <c r="E40" s="129"/>
      <c r="F40" s="221">
        <f t="shared" si="0"/>
        <v>0</v>
      </c>
      <c r="G40" s="220"/>
      <c r="H40" s="221">
        <f t="shared" si="1"/>
        <v>0</v>
      </c>
      <c r="J40" s="132">
        <f>+'Tabel 2026 52 weken'!J40</f>
        <v>0.96</v>
      </c>
      <c r="K40" s="130"/>
      <c r="L40" s="223">
        <f t="shared" si="2"/>
        <v>0</v>
      </c>
      <c r="M40" s="222"/>
      <c r="N40" s="223">
        <f t="shared" si="3"/>
        <v>0</v>
      </c>
    </row>
    <row r="41" spans="1:24" ht="15" x14ac:dyDescent="0.2">
      <c r="A41" s="175">
        <f>+'Tabel 2026 52 weken'!A41</f>
        <v>35401</v>
      </c>
      <c r="B41" s="175">
        <f>+'Tabel 2026 52 weken'!B41</f>
        <v>37129</v>
      </c>
      <c r="D41" s="131">
        <f>+'Tabel 2026 52 weken'!D41</f>
        <v>0.96</v>
      </c>
      <c r="E41" s="129"/>
      <c r="F41" s="221">
        <f t="shared" si="0"/>
        <v>0</v>
      </c>
      <c r="G41" s="220"/>
      <c r="H41" s="221">
        <f t="shared" si="1"/>
        <v>0</v>
      </c>
      <c r="J41" s="132">
        <f>+'Tabel 2026 52 weken'!J41</f>
        <v>0.96</v>
      </c>
      <c r="K41" s="130"/>
      <c r="L41" s="223">
        <f t="shared" si="2"/>
        <v>0</v>
      </c>
      <c r="M41" s="222"/>
      <c r="N41" s="223">
        <f t="shared" si="3"/>
        <v>0</v>
      </c>
    </row>
    <row r="42" spans="1:24" ht="15" x14ac:dyDescent="0.2">
      <c r="A42" s="175">
        <f>+'Tabel 2026 52 weken'!A42</f>
        <v>37130</v>
      </c>
      <c r="B42" s="175">
        <f>+'Tabel 2026 52 weken'!B42</f>
        <v>38855</v>
      </c>
      <c r="D42" s="131">
        <f>+'Tabel 2026 52 weken'!D42</f>
        <v>0.96</v>
      </c>
      <c r="E42" s="129"/>
      <c r="F42" s="221">
        <f t="shared" si="0"/>
        <v>0</v>
      </c>
      <c r="G42" s="220"/>
      <c r="H42" s="221">
        <f t="shared" si="1"/>
        <v>0</v>
      </c>
      <c r="J42" s="132">
        <f>+'Tabel 2026 52 weken'!J42</f>
        <v>0.96</v>
      </c>
      <c r="K42" s="130"/>
      <c r="L42" s="223">
        <f t="shared" si="2"/>
        <v>0</v>
      </c>
      <c r="M42" s="222"/>
      <c r="N42" s="223">
        <f t="shared" si="3"/>
        <v>0</v>
      </c>
    </row>
    <row r="43" spans="1:24" ht="15" x14ac:dyDescent="0.2">
      <c r="A43" s="175">
        <f>+'Tabel 2026 52 weken'!A43</f>
        <v>38856</v>
      </c>
      <c r="B43" s="175">
        <f>+'Tabel 2026 52 weken'!B43</f>
        <v>40586</v>
      </c>
      <c r="D43" s="131">
        <f>+'Tabel 2026 52 weken'!D43</f>
        <v>0.96</v>
      </c>
      <c r="E43" s="129"/>
      <c r="F43" s="221">
        <f t="shared" si="0"/>
        <v>0</v>
      </c>
      <c r="G43" s="220"/>
      <c r="H43" s="221">
        <f t="shared" si="1"/>
        <v>0</v>
      </c>
      <c r="J43" s="132">
        <f>+'Tabel 2026 52 weken'!J43</f>
        <v>0.96</v>
      </c>
      <c r="K43" s="130"/>
      <c r="L43" s="223">
        <f t="shared" si="2"/>
        <v>0</v>
      </c>
      <c r="M43" s="222"/>
      <c r="N43" s="223">
        <f t="shared" si="3"/>
        <v>0</v>
      </c>
    </row>
    <row r="44" spans="1:24" ht="15" x14ac:dyDescent="0.2">
      <c r="A44" s="175">
        <f>+'Tabel 2026 52 weken'!A44</f>
        <v>40587</v>
      </c>
      <c r="B44" s="175">
        <f>+'Tabel 2026 52 weken'!B44</f>
        <v>42313</v>
      </c>
      <c r="D44" s="131">
        <f>+'Tabel 2026 52 weken'!D44</f>
        <v>0.96</v>
      </c>
      <c r="E44" s="129"/>
      <c r="F44" s="221">
        <f t="shared" si="0"/>
        <v>0</v>
      </c>
      <c r="G44" s="220"/>
      <c r="H44" s="221">
        <f t="shared" si="1"/>
        <v>0</v>
      </c>
      <c r="J44" s="132">
        <f>+'Tabel 2026 52 weken'!J44</f>
        <v>0.96</v>
      </c>
      <c r="K44" s="130"/>
      <c r="L44" s="223">
        <f t="shared" si="2"/>
        <v>0</v>
      </c>
      <c r="M44" s="222"/>
      <c r="N44" s="223">
        <f t="shared" si="3"/>
        <v>0</v>
      </c>
    </row>
    <row r="45" spans="1:24" ht="15" x14ac:dyDescent="0.2">
      <c r="A45" s="175">
        <f>+'Tabel 2026 52 weken'!A45</f>
        <v>42314</v>
      </c>
      <c r="B45" s="175">
        <f>+'Tabel 2026 52 weken'!B45</f>
        <v>44046</v>
      </c>
      <c r="D45" s="131">
        <f>+'Tabel 2026 52 weken'!D45</f>
        <v>0.96</v>
      </c>
      <c r="E45" s="129"/>
      <c r="F45" s="221">
        <f t="shared" si="0"/>
        <v>0</v>
      </c>
      <c r="G45" s="220"/>
      <c r="H45" s="221">
        <f t="shared" si="1"/>
        <v>0</v>
      </c>
      <c r="J45" s="132">
        <f>+'Tabel 2026 52 weken'!J45</f>
        <v>0.96</v>
      </c>
      <c r="K45" s="130"/>
      <c r="L45" s="223">
        <f t="shared" si="2"/>
        <v>0</v>
      </c>
      <c r="M45" s="222"/>
      <c r="N45" s="223">
        <f t="shared" si="3"/>
        <v>0</v>
      </c>
      <c r="R45" t="s">
        <v>59</v>
      </c>
      <c r="S45" t="s">
        <v>59</v>
      </c>
      <c r="T45" t="s">
        <v>59</v>
      </c>
      <c r="U45" t="s">
        <v>60</v>
      </c>
      <c r="V45" t="s">
        <v>53</v>
      </c>
    </row>
    <row r="46" spans="1:24" ht="15" x14ac:dyDescent="0.2">
      <c r="A46" s="175">
        <f>+'Tabel 2026 52 weken'!A46</f>
        <v>44047</v>
      </c>
      <c r="B46" s="175">
        <f>+'Tabel 2026 52 weken'!B46</f>
        <v>45776</v>
      </c>
      <c r="D46" s="131">
        <f>+'Tabel 2026 52 weken'!D46</f>
        <v>0.96</v>
      </c>
      <c r="E46" s="129"/>
      <c r="F46" s="221">
        <f t="shared" si="0"/>
        <v>0</v>
      </c>
      <c r="G46" s="220"/>
      <c r="H46" s="221">
        <f t="shared" si="1"/>
        <v>0</v>
      </c>
      <c r="J46" s="132">
        <f>+'Tabel 2026 52 weken'!J46</f>
        <v>0.96</v>
      </c>
      <c r="K46" s="130"/>
      <c r="L46" s="223">
        <f t="shared" si="2"/>
        <v>0</v>
      </c>
      <c r="M46" s="222"/>
      <c r="N46" s="223">
        <f t="shared" si="3"/>
        <v>0</v>
      </c>
      <c r="Q46">
        <f>26</f>
        <v>26</v>
      </c>
      <c r="R46">
        <f>Q46*3*2</f>
        <v>156</v>
      </c>
      <c r="S46">
        <f>4*7.5*2</f>
        <v>60</v>
      </c>
      <c r="T46">
        <f>R46+S46</f>
        <v>216</v>
      </c>
      <c r="U46">
        <f>T46*6.28</f>
        <v>1356.48</v>
      </c>
      <c r="V46" s="94">
        <f>T46*5.93*(100%-D46)+((6.28-5.93)*T46)</f>
        <v>126.83520000000016</v>
      </c>
      <c r="W46" s="186">
        <v>0.5</v>
      </c>
      <c r="X46" t="s">
        <v>61</v>
      </c>
    </row>
    <row r="47" spans="1:24" ht="15" x14ac:dyDescent="0.2">
      <c r="A47" s="175">
        <f>+'Tabel 2026 52 weken'!A47</f>
        <v>45777</v>
      </c>
      <c r="B47" s="175">
        <f>+'Tabel 2026 52 weken'!B47</f>
        <v>47546</v>
      </c>
      <c r="D47" s="131">
        <f>+'Tabel 2026 52 weken'!D47</f>
        <v>0.96</v>
      </c>
      <c r="E47" s="129"/>
      <c r="F47" s="221">
        <f t="shared" si="0"/>
        <v>0</v>
      </c>
      <c r="G47" s="220"/>
      <c r="H47" s="221">
        <f t="shared" si="1"/>
        <v>0</v>
      </c>
      <c r="J47" s="132">
        <f>+'Tabel 2026 52 weken'!J47</f>
        <v>0.96</v>
      </c>
      <c r="K47" s="130"/>
      <c r="L47" s="223">
        <f t="shared" si="2"/>
        <v>0</v>
      </c>
      <c r="M47" s="222"/>
      <c r="N47" s="223">
        <f t="shared" si="3"/>
        <v>0</v>
      </c>
      <c r="V47" s="94">
        <f>T46*5.93*(100%-D46)+((W47-5.93)*T46)</f>
        <v>234.83520000000016</v>
      </c>
      <c r="W47">
        <f>6.28+W46</f>
        <v>6.78</v>
      </c>
    </row>
    <row r="48" spans="1:24" ht="15" x14ac:dyDescent="0.2">
      <c r="A48" s="175">
        <f>+'Tabel 2026 52 weken'!A48</f>
        <v>47547</v>
      </c>
      <c r="B48" s="175">
        <f>+'Tabel 2026 52 weken'!B48</f>
        <v>49318</v>
      </c>
      <c r="D48" s="131">
        <f>+'Tabel 2026 52 weken'!D48</f>
        <v>0.96</v>
      </c>
      <c r="E48" s="129"/>
      <c r="F48" s="221">
        <f t="shared" si="0"/>
        <v>0</v>
      </c>
      <c r="G48" s="220"/>
      <c r="H48" s="221">
        <f t="shared" si="1"/>
        <v>0</v>
      </c>
      <c r="J48" s="132">
        <f>+'Tabel 2026 52 weken'!J48</f>
        <v>0.96</v>
      </c>
      <c r="K48" s="130"/>
      <c r="L48" s="223">
        <f t="shared" si="2"/>
        <v>0</v>
      </c>
      <c r="M48" s="222"/>
      <c r="N48" s="223">
        <f t="shared" si="3"/>
        <v>0</v>
      </c>
      <c r="T48">
        <f>1350/5/2*2</f>
        <v>270</v>
      </c>
      <c r="U48">
        <f>T48*6.28</f>
        <v>1695.6000000000001</v>
      </c>
      <c r="V48" s="94">
        <f>T48*5.93*(100%-D46)+((6.28-5.93)*T48)</f>
        <v>158.54400000000021</v>
      </c>
    </row>
    <row r="49" spans="1:16" ht="15" x14ac:dyDescent="0.2">
      <c r="A49" s="175">
        <f>+'Tabel 2026 52 weken'!A49</f>
        <v>49319</v>
      </c>
      <c r="B49" s="175">
        <f>+'Tabel 2026 52 weken'!B49</f>
        <v>51092</v>
      </c>
      <c r="D49" s="131">
        <f>+'Tabel 2026 52 weken'!D49</f>
        <v>0.96</v>
      </c>
      <c r="E49" s="129"/>
      <c r="F49" s="221">
        <f t="shared" si="0"/>
        <v>0</v>
      </c>
      <c r="G49" s="220"/>
      <c r="H49" s="221">
        <f t="shared" si="1"/>
        <v>0</v>
      </c>
      <c r="J49" s="132">
        <f>+'Tabel 2026 52 weken'!J49</f>
        <v>0.96</v>
      </c>
      <c r="K49" s="130"/>
      <c r="L49" s="223">
        <f t="shared" si="2"/>
        <v>0</v>
      </c>
      <c r="M49" s="222"/>
      <c r="N49" s="223">
        <f t="shared" si="3"/>
        <v>0</v>
      </c>
    </row>
    <row r="50" spans="1:16" ht="15" x14ac:dyDescent="0.2">
      <c r="A50" s="175">
        <f>+'Tabel 2026 52 weken'!A50</f>
        <v>51093</v>
      </c>
      <c r="B50" s="175">
        <f>+'Tabel 2026 52 weken'!B50</f>
        <v>52864</v>
      </c>
      <c r="D50" s="131">
        <f>+'Tabel 2026 52 weken'!D50</f>
        <v>0.96</v>
      </c>
      <c r="E50" s="129"/>
      <c r="F50" s="221">
        <f t="shared" si="0"/>
        <v>0</v>
      </c>
      <c r="G50" s="220"/>
      <c r="H50" s="221">
        <f t="shared" si="1"/>
        <v>0</v>
      </c>
      <c r="J50" s="132">
        <f>+'Tabel 2026 52 weken'!J50</f>
        <v>0.96</v>
      </c>
      <c r="K50" s="130"/>
      <c r="L50" s="223">
        <f t="shared" si="2"/>
        <v>0</v>
      </c>
      <c r="M50" s="222"/>
      <c r="N50" s="223">
        <f t="shared" si="3"/>
        <v>0</v>
      </c>
    </row>
    <row r="51" spans="1:16" ht="15" x14ac:dyDescent="0.2">
      <c r="A51" s="175">
        <f>+'Tabel 2026 52 weken'!A51</f>
        <v>52865</v>
      </c>
      <c r="B51" s="175">
        <f>+'Tabel 2026 52 weken'!B51</f>
        <v>54641</v>
      </c>
      <c r="D51" s="131">
        <f>+'Tabel 2026 52 weken'!D51</f>
        <v>0.96</v>
      </c>
      <c r="E51" s="129"/>
      <c r="F51" s="221">
        <f t="shared" si="0"/>
        <v>0</v>
      </c>
      <c r="G51" s="220"/>
      <c r="H51" s="221">
        <f t="shared" si="1"/>
        <v>0</v>
      </c>
      <c r="J51" s="132">
        <f>+'Tabel 2026 52 weken'!J51</f>
        <v>0.96</v>
      </c>
      <c r="K51" s="130"/>
      <c r="L51" s="223">
        <f t="shared" si="2"/>
        <v>0</v>
      </c>
      <c r="M51" s="222"/>
      <c r="N51" s="223">
        <f t="shared" si="3"/>
        <v>0</v>
      </c>
    </row>
    <row r="52" spans="1:16" ht="15" x14ac:dyDescent="0.2">
      <c r="A52" s="175">
        <f>+'Tabel 2026 52 weken'!A52</f>
        <v>54642</v>
      </c>
      <c r="B52" s="175">
        <f>+'Tabel 2026 52 weken'!B52</f>
        <v>56412</v>
      </c>
      <c r="D52" s="131">
        <f>+'Tabel 2026 52 weken'!D52</f>
        <v>0.96</v>
      </c>
      <c r="E52" s="129"/>
      <c r="F52" s="221">
        <f t="shared" si="0"/>
        <v>0</v>
      </c>
      <c r="G52" s="220"/>
      <c r="H52" s="221">
        <f t="shared" si="1"/>
        <v>0</v>
      </c>
      <c r="J52" s="132">
        <f>+'Tabel 2026 52 weken'!J52</f>
        <v>0.96</v>
      </c>
      <c r="K52" s="130"/>
      <c r="L52" s="223">
        <f t="shared" si="2"/>
        <v>0</v>
      </c>
      <c r="M52" s="222"/>
      <c r="N52" s="223">
        <f t="shared" si="3"/>
        <v>0</v>
      </c>
    </row>
    <row r="53" spans="1:16" ht="15" x14ac:dyDescent="0.2">
      <c r="A53" s="175">
        <f>+'Tabel 2026 52 weken'!A53</f>
        <v>56413</v>
      </c>
      <c r="B53" s="175">
        <f>+'Tabel 2026 52 weken'!B53</f>
        <v>58184</v>
      </c>
      <c r="D53" s="131">
        <f>+'Tabel 2026 52 weken'!D53</f>
        <v>0.95499999999999996</v>
      </c>
      <c r="E53" s="129"/>
      <c r="F53" s="221">
        <f t="shared" si="0"/>
        <v>0</v>
      </c>
      <c r="G53" s="220"/>
      <c r="H53" s="221">
        <f t="shared" si="1"/>
        <v>0</v>
      </c>
      <c r="J53" s="132">
        <f>+'Tabel 2026 52 weken'!J53</f>
        <v>0.95599999999999996</v>
      </c>
      <c r="K53" s="130"/>
      <c r="L53" s="223">
        <f t="shared" si="2"/>
        <v>0</v>
      </c>
      <c r="M53" s="222"/>
      <c r="N53" s="223">
        <f t="shared" si="3"/>
        <v>0</v>
      </c>
    </row>
    <row r="54" spans="1:16" ht="15" x14ac:dyDescent="0.2">
      <c r="A54" s="175">
        <f>+'Tabel 2026 52 weken'!A54</f>
        <v>58185</v>
      </c>
      <c r="B54" s="175">
        <f>+'Tabel 2026 52 weken'!B54</f>
        <v>59957</v>
      </c>
      <c r="D54" s="131">
        <f>+'Tabel 2026 52 weken'!D54</f>
        <v>0.94799999999999995</v>
      </c>
      <c r="E54" s="129"/>
      <c r="F54" s="221">
        <f t="shared" si="0"/>
        <v>0</v>
      </c>
      <c r="G54" s="220"/>
      <c r="H54" s="221">
        <f t="shared" si="1"/>
        <v>0</v>
      </c>
      <c r="J54" s="132">
        <f>+'Tabel 2026 52 weken'!J54</f>
        <v>0.95599999999999996</v>
      </c>
      <c r="K54" s="130"/>
      <c r="L54" s="223">
        <f t="shared" si="2"/>
        <v>0</v>
      </c>
      <c r="M54" s="222"/>
      <c r="N54" s="223">
        <f t="shared" si="3"/>
        <v>0</v>
      </c>
    </row>
    <row r="55" spans="1:16" ht="15" x14ac:dyDescent="0.2">
      <c r="A55" s="175">
        <f>+'Tabel 2026 52 weken'!A55</f>
        <v>59958</v>
      </c>
      <c r="B55" s="175">
        <f>+'Tabel 2026 52 weken'!B55</f>
        <v>61895</v>
      </c>
      <c r="D55" s="131">
        <f>+'Tabel 2026 52 weken'!D55</f>
        <v>0.93899999999999995</v>
      </c>
      <c r="E55" s="129"/>
      <c r="F55" s="221">
        <f t="shared" si="0"/>
        <v>0</v>
      </c>
      <c r="G55" s="220"/>
      <c r="H55" s="221">
        <f t="shared" si="1"/>
        <v>0</v>
      </c>
      <c r="J55" s="132">
        <f>+'Tabel 2026 52 weken'!J55</f>
        <v>0.95599999999999996</v>
      </c>
      <c r="K55" s="130"/>
      <c r="L55" s="223">
        <f t="shared" si="2"/>
        <v>0</v>
      </c>
      <c r="M55" s="222"/>
      <c r="N55" s="223">
        <f t="shared" si="3"/>
        <v>0</v>
      </c>
    </row>
    <row r="56" spans="1:16" ht="15" x14ac:dyDescent="0.2">
      <c r="A56" s="175">
        <f>+'Tabel 2026 52 weken'!A56</f>
        <v>61896</v>
      </c>
      <c r="B56" s="175">
        <f>+'Tabel 2026 52 weken'!B56</f>
        <v>65695</v>
      </c>
      <c r="D56" s="131">
        <f>+'Tabel 2026 52 weken'!D56</f>
        <v>0.92400000000000004</v>
      </c>
      <c r="E56" s="129"/>
      <c r="F56" s="221">
        <f t="shared" si="0"/>
        <v>0</v>
      </c>
      <c r="G56" s="220"/>
      <c r="H56" s="221">
        <f t="shared" si="1"/>
        <v>0</v>
      </c>
      <c r="J56" s="132">
        <f>+'Tabel 2026 52 weken'!J56</f>
        <v>0.95599999999999996</v>
      </c>
      <c r="K56" s="130"/>
      <c r="L56" s="223">
        <f t="shared" si="2"/>
        <v>0</v>
      </c>
      <c r="M56" s="222"/>
      <c r="N56" s="223">
        <f t="shared" si="3"/>
        <v>0</v>
      </c>
    </row>
    <row r="57" spans="1:16" ht="15" x14ac:dyDescent="0.2">
      <c r="A57" s="175">
        <f>+'Tabel 2026 52 weken'!A57</f>
        <v>65696</v>
      </c>
      <c r="B57" s="175">
        <f>+'Tabel 2026 52 weken'!B57</f>
        <v>69492</v>
      </c>
      <c r="D57" s="131">
        <f>+'Tabel 2026 52 weken'!D57</f>
        <v>0.91600000000000004</v>
      </c>
      <c r="E57" s="129"/>
      <c r="F57" s="221">
        <f t="shared" si="0"/>
        <v>0</v>
      </c>
      <c r="G57" s="220"/>
      <c r="H57" s="221">
        <f t="shared" si="1"/>
        <v>0</v>
      </c>
      <c r="J57" s="132">
        <f>+'Tabel 2026 52 weken'!J57</f>
        <v>0.95199999999999996</v>
      </c>
      <c r="K57" s="130"/>
      <c r="L57" s="223">
        <f t="shared" si="2"/>
        <v>0</v>
      </c>
      <c r="M57" s="222"/>
      <c r="N57" s="223">
        <f t="shared" si="3"/>
        <v>0</v>
      </c>
    </row>
    <row r="58" spans="1:16" ht="15" x14ac:dyDescent="0.2">
      <c r="A58" s="175">
        <f>+'Tabel 2026 52 weken'!A58</f>
        <v>69493</v>
      </c>
      <c r="B58" s="175">
        <f>+'Tabel 2026 52 weken'!B58</f>
        <v>73292</v>
      </c>
      <c r="D58" s="131">
        <f>+'Tabel 2026 52 weken'!D58</f>
        <v>0.90500000000000003</v>
      </c>
      <c r="E58" s="129"/>
      <c r="F58" s="221">
        <f t="shared" si="0"/>
        <v>0</v>
      </c>
      <c r="G58" s="220"/>
      <c r="H58" s="221">
        <f t="shared" si="1"/>
        <v>0</v>
      </c>
      <c r="J58" s="132">
        <f>+'Tabel 2026 52 weken'!J58</f>
        <v>0.94599999999999995</v>
      </c>
      <c r="K58" s="130"/>
      <c r="L58" s="223">
        <f t="shared" si="2"/>
        <v>0</v>
      </c>
      <c r="M58" s="222"/>
      <c r="N58" s="223">
        <f t="shared" si="3"/>
        <v>0</v>
      </c>
    </row>
    <row r="59" spans="1:16" ht="15" x14ac:dyDescent="0.2">
      <c r="A59" s="175">
        <f>+'Tabel 2026 52 weken'!A59</f>
        <v>73293</v>
      </c>
      <c r="B59" s="175">
        <f>+'Tabel 2026 52 weken'!B59</f>
        <v>77094</v>
      </c>
      <c r="D59" s="131">
        <f>+'Tabel 2026 52 weken'!D59</f>
        <v>0.88200000000000001</v>
      </c>
      <c r="E59" s="129"/>
      <c r="F59" s="221">
        <f t="shared" si="0"/>
        <v>0</v>
      </c>
      <c r="G59" s="220"/>
      <c r="H59" s="221">
        <f t="shared" si="1"/>
        <v>0</v>
      </c>
      <c r="J59" s="132">
        <f>+'Tabel 2026 52 weken'!J59</f>
        <v>0.94199999999999995</v>
      </c>
      <c r="K59" s="130"/>
      <c r="L59" s="223">
        <f t="shared" si="2"/>
        <v>0</v>
      </c>
      <c r="M59" s="222"/>
      <c r="N59" s="223">
        <f t="shared" si="3"/>
        <v>0</v>
      </c>
    </row>
    <row r="60" spans="1:16" ht="15" x14ac:dyDescent="0.2">
      <c r="A60" s="175">
        <f>+'Tabel 2026 52 weken'!A60</f>
        <v>77095</v>
      </c>
      <c r="B60" s="175">
        <f>+'Tabel 2026 52 weken'!B60</f>
        <v>80891</v>
      </c>
      <c r="D60" s="131">
        <f>+'Tabel 2026 52 weken'!D60</f>
        <v>0.85899999999999999</v>
      </c>
      <c r="E60" s="129"/>
      <c r="F60" s="221">
        <f t="shared" si="0"/>
        <v>0</v>
      </c>
      <c r="G60" s="220"/>
      <c r="H60" s="221">
        <f t="shared" si="1"/>
        <v>0</v>
      </c>
      <c r="J60" s="132">
        <f>+'Tabel 2026 52 weken'!J60</f>
        <v>0.93899999999999995</v>
      </c>
      <c r="K60" s="130"/>
      <c r="L60" s="223">
        <f t="shared" si="2"/>
        <v>0</v>
      </c>
      <c r="M60" s="222"/>
      <c r="N60" s="223">
        <f t="shared" si="3"/>
        <v>0</v>
      </c>
    </row>
    <row r="61" spans="1:16" ht="15" x14ac:dyDescent="0.2">
      <c r="A61" s="175">
        <f>+'Tabel 2026 52 weken'!A61</f>
        <v>80892</v>
      </c>
      <c r="B61" s="175">
        <f>+'Tabel 2026 52 weken'!B61</f>
        <v>84693</v>
      </c>
      <c r="D61" s="131">
        <f>+'Tabel 2026 52 weken'!D61</f>
        <v>0.83699999999999997</v>
      </c>
      <c r="E61" s="129"/>
      <c r="F61" s="221">
        <f t="shared" si="0"/>
        <v>0</v>
      </c>
      <c r="G61" s="220"/>
      <c r="H61" s="221">
        <f t="shared" si="1"/>
        <v>0</v>
      </c>
      <c r="J61" s="132">
        <f>+'Tabel 2026 52 weken'!J61</f>
        <v>0.93200000000000005</v>
      </c>
      <c r="K61" s="130"/>
      <c r="L61" s="223">
        <f t="shared" si="2"/>
        <v>0</v>
      </c>
      <c r="M61" s="222"/>
      <c r="N61" s="223">
        <f t="shared" si="3"/>
        <v>0</v>
      </c>
    </row>
    <row r="62" spans="1:16" ht="15" x14ac:dyDescent="0.2">
      <c r="A62" s="175">
        <f>+'Tabel 2026 52 weken'!A62</f>
        <v>84694</v>
      </c>
      <c r="B62" s="175">
        <f>+'Tabel 2026 52 weken'!B62</f>
        <v>88491</v>
      </c>
      <c r="D62" s="131">
        <f>+'Tabel 2026 52 weken'!D62</f>
        <v>0.81200000000000006</v>
      </c>
      <c r="E62" s="129"/>
      <c r="F62" s="221">
        <f t="shared" si="0"/>
        <v>0</v>
      </c>
      <c r="G62" s="220"/>
      <c r="H62" s="221">
        <f t="shared" si="1"/>
        <v>0</v>
      </c>
      <c r="J62" s="132">
        <f>+'Tabel 2026 52 weken'!J62</f>
        <v>0.92700000000000005</v>
      </c>
      <c r="K62" s="130"/>
      <c r="L62" s="223">
        <f t="shared" si="2"/>
        <v>0</v>
      </c>
      <c r="M62" s="222"/>
      <c r="N62" s="223">
        <f t="shared" si="3"/>
        <v>0</v>
      </c>
    </row>
    <row r="63" spans="1:16" ht="15" x14ac:dyDescent="0.2">
      <c r="A63" s="175">
        <f>+'Tabel 2026 52 weken'!A63</f>
        <v>88492</v>
      </c>
      <c r="B63" s="175">
        <f>+'Tabel 2026 52 weken'!B63</f>
        <v>92291</v>
      </c>
      <c r="D63" s="131">
        <f>+'Tabel 2026 52 weken'!D63</f>
        <v>0.78900000000000003</v>
      </c>
      <c r="E63" s="129"/>
      <c r="F63" s="221">
        <f t="shared" si="0"/>
        <v>0</v>
      </c>
      <c r="G63" s="220"/>
      <c r="H63" s="221">
        <f t="shared" si="1"/>
        <v>0</v>
      </c>
      <c r="J63" s="132">
        <f>+'Tabel 2026 52 weken'!J63</f>
        <v>0.92200000000000004</v>
      </c>
      <c r="K63" s="130"/>
      <c r="L63" s="223">
        <f t="shared" si="2"/>
        <v>0</v>
      </c>
      <c r="M63" s="222"/>
      <c r="N63" s="223">
        <f t="shared" si="3"/>
        <v>0</v>
      </c>
      <c r="P63" s="93"/>
    </row>
    <row r="64" spans="1:16" ht="15" x14ac:dyDescent="0.2">
      <c r="A64" s="175">
        <f>+'Tabel 2026 52 weken'!A64</f>
        <v>92292</v>
      </c>
      <c r="B64" s="175">
        <f>+'Tabel 2026 52 weken'!B64</f>
        <v>96091</v>
      </c>
      <c r="D64" s="131">
        <f>+'Tabel 2026 52 weken'!D64</f>
        <v>0.76700000000000002</v>
      </c>
      <c r="E64" s="129"/>
      <c r="F64" s="221">
        <f t="shared" si="0"/>
        <v>0</v>
      </c>
      <c r="G64" s="220"/>
      <c r="H64" s="221">
        <f t="shared" si="1"/>
        <v>0</v>
      </c>
      <c r="J64" s="132">
        <f>+'Tabel 2026 52 weken'!J64</f>
        <v>0.91500000000000004</v>
      </c>
      <c r="K64" s="130"/>
      <c r="L64" s="223">
        <f t="shared" si="2"/>
        <v>0</v>
      </c>
      <c r="M64" s="222"/>
      <c r="N64" s="223">
        <f t="shared" si="3"/>
        <v>0</v>
      </c>
    </row>
    <row r="65" spans="1:16" ht="15" x14ac:dyDescent="0.2">
      <c r="A65" s="175">
        <f>+'Tabel 2026 52 weken'!A65</f>
        <v>96092</v>
      </c>
      <c r="B65" s="175">
        <f>+'Tabel 2026 52 weken'!B65</f>
        <v>99889</v>
      </c>
      <c r="D65" s="131">
        <f>+'Tabel 2026 52 weken'!D65</f>
        <v>0.74299999999999999</v>
      </c>
      <c r="E65" s="129"/>
      <c r="F65" s="221">
        <f t="shared" si="0"/>
        <v>0</v>
      </c>
      <c r="G65" s="220"/>
      <c r="H65" s="221">
        <f t="shared" si="1"/>
        <v>0</v>
      </c>
      <c r="J65" s="132">
        <f>+'Tabel 2026 52 weken'!J65</f>
        <v>0.90900000000000003</v>
      </c>
      <c r="K65" s="130"/>
      <c r="L65" s="223">
        <f t="shared" si="2"/>
        <v>0</v>
      </c>
      <c r="M65" s="222"/>
      <c r="N65" s="223">
        <f t="shared" si="3"/>
        <v>0</v>
      </c>
    </row>
    <row r="66" spans="1:16" ht="15" x14ac:dyDescent="0.2">
      <c r="A66" s="175">
        <f>+'Tabel 2026 52 weken'!A66</f>
        <v>99890</v>
      </c>
      <c r="B66" s="175">
        <f>+'Tabel 2026 52 weken'!B66</f>
        <v>103694</v>
      </c>
      <c r="D66" s="131">
        <f>+'Tabel 2026 52 weken'!D66</f>
        <v>0.72099999999999997</v>
      </c>
      <c r="E66" s="129"/>
      <c r="F66" s="221">
        <f t="shared" si="0"/>
        <v>0</v>
      </c>
      <c r="G66" s="220"/>
      <c r="H66" s="221">
        <f t="shared" si="1"/>
        <v>0</v>
      </c>
      <c r="J66" s="132">
        <f>+'Tabel 2026 52 weken'!J66</f>
        <v>0.90500000000000003</v>
      </c>
      <c r="K66" s="130"/>
      <c r="L66" s="223">
        <f t="shared" si="2"/>
        <v>0</v>
      </c>
      <c r="M66" s="222"/>
      <c r="N66" s="223">
        <f t="shared" si="3"/>
        <v>0</v>
      </c>
    </row>
    <row r="67" spans="1:16" ht="15" x14ac:dyDescent="0.2">
      <c r="A67" s="175">
        <f>+'Tabel 2026 52 weken'!A67</f>
        <v>103695</v>
      </c>
      <c r="B67" s="175">
        <f>+'Tabel 2026 52 weken'!B67</f>
        <v>107492</v>
      </c>
      <c r="D67" s="131">
        <f>+'Tabel 2026 52 weken'!D67</f>
        <v>0.69599999999999995</v>
      </c>
      <c r="E67" s="129"/>
      <c r="F67" s="221">
        <f t="shared" si="0"/>
        <v>0</v>
      </c>
      <c r="G67" s="220"/>
      <c r="H67" s="221">
        <f t="shared" si="1"/>
        <v>0</v>
      </c>
      <c r="J67" s="132">
        <f>+'Tabel 2026 52 weken'!J67</f>
        <v>0.90200000000000002</v>
      </c>
      <c r="K67" s="130"/>
      <c r="L67" s="223">
        <f t="shared" si="2"/>
        <v>0</v>
      </c>
      <c r="M67" s="222"/>
      <c r="N67" s="223">
        <f t="shared" si="3"/>
        <v>0</v>
      </c>
    </row>
    <row r="68" spans="1:16" ht="15" x14ac:dyDescent="0.2">
      <c r="A68" s="175">
        <f>+'Tabel 2026 52 weken'!A68</f>
        <v>107493</v>
      </c>
      <c r="B68" s="175">
        <f>+'Tabel 2026 52 weken'!B68</f>
        <v>111290</v>
      </c>
      <c r="D68" s="131">
        <f>+'Tabel 2026 52 weken'!D68</f>
        <v>0.67300000000000004</v>
      </c>
      <c r="E68" s="129"/>
      <c r="F68" s="221">
        <f t="shared" si="0"/>
        <v>0</v>
      </c>
      <c r="G68" s="220"/>
      <c r="H68" s="221">
        <f t="shared" si="1"/>
        <v>0</v>
      </c>
      <c r="J68" s="132">
        <f>+'Tabel 2026 52 weken'!J68</f>
        <v>0.89500000000000002</v>
      </c>
      <c r="K68" s="130"/>
      <c r="L68" s="223">
        <f t="shared" si="2"/>
        <v>0</v>
      </c>
      <c r="M68" s="222"/>
      <c r="N68" s="223">
        <f t="shared" si="3"/>
        <v>0</v>
      </c>
    </row>
    <row r="69" spans="1:16" ht="15" x14ac:dyDescent="0.2">
      <c r="A69" s="175">
        <f>+'Tabel 2026 52 weken'!A69</f>
        <v>111291</v>
      </c>
      <c r="B69" s="175">
        <f>+'Tabel 2026 52 weken'!B69</f>
        <v>115090</v>
      </c>
      <c r="D69" s="131">
        <f>+'Tabel 2026 52 weken'!D69</f>
        <v>0.65100000000000002</v>
      </c>
      <c r="E69" s="129"/>
      <c r="F69" s="221">
        <f t="shared" si="0"/>
        <v>0</v>
      </c>
      <c r="G69" s="220"/>
      <c r="H69" s="221">
        <f t="shared" si="1"/>
        <v>0</v>
      </c>
      <c r="J69" s="132">
        <f>+'Tabel 2026 52 weken'!J69</f>
        <v>0.89100000000000001</v>
      </c>
      <c r="K69" s="130"/>
      <c r="L69" s="223">
        <f t="shared" si="2"/>
        <v>0</v>
      </c>
      <c r="M69" s="222"/>
      <c r="N69" s="223">
        <f t="shared" si="3"/>
        <v>0</v>
      </c>
    </row>
    <row r="70" spans="1:16" ht="15" x14ac:dyDescent="0.2">
      <c r="A70" s="175">
        <f>+'Tabel 2026 52 weken'!A70</f>
        <v>115091</v>
      </c>
      <c r="B70" s="175">
        <f>+'Tabel 2026 52 weken'!B70</f>
        <v>118963</v>
      </c>
      <c r="D70" s="131">
        <f>+'Tabel 2026 52 weken'!D70</f>
        <v>0.627</v>
      </c>
      <c r="E70" s="129"/>
      <c r="F70" s="221">
        <f t="shared" si="0"/>
        <v>0</v>
      </c>
      <c r="G70" s="220"/>
      <c r="H70" s="221">
        <f t="shared" si="1"/>
        <v>0</v>
      </c>
      <c r="J70" s="132">
        <f>+'Tabel 2026 52 weken'!J70</f>
        <v>0.88600000000000001</v>
      </c>
      <c r="K70" s="130"/>
      <c r="L70" s="223">
        <f t="shared" si="2"/>
        <v>0</v>
      </c>
      <c r="M70" s="222"/>
      <c r="N70" s="223">
        <f t="shared" si="3"/>
        <v>0</v>
      </c>
    </row>
    <row r="71" spans="1:16" ht="15" x14ac:dyDescent="0.2">
      <c r="A71" s="175">
        <f>+'Tabel 2026 52 weken'!A71</f>
        <v>118964</v>
      </c>
      <c r="B71" s="175">
        <f>+'Tabel 2026 52 weken'!B71</f>
        <v>122857</v>
      </c>
      <c r="D71" s="131">
        <f>+'Tabel 2026 52 weken'!D71</f>
        <v>0.60599999999999998</v>
      </c>
      <c r="E71" s="129"/>
      <c r="F71" s="221">
        <f t="shared" si="0"/>
        <v>0</v>
      </c>
      <c r="G71" s="220"/>
      <c r="H71" s="221">
        <f t="shared" si="1"/>
        <v>0</v>
      </c>
      <c r="J71" s="132">
        <f>+'Tabel 2026 52 weken'!J71</f>
        <v>0.879</v>
      </c>
      <c r="K71" s="130"/>
      <c r="L71" s="223">
        <f t="shared" si="2"/>
        <v>0</v>
      </c>
      <c r="M71" s="222"/>
      <c r="N71" s="223">
        <f t="shared" si="3"/>
        <v>0</v>
      </c>
    </row>
    <row r="72" spans="1:16" ht="15" x14ac:dyDescent="0.2">
      <c r="A72" s="175">
        <f>+'Tabel 2026 52 weken'!A72</f>
        <v>122858</v>
      </c>
      <c r="B72" s="175">
        <f>+'Tabel 2026 52 weken'!B72</f>
        <v>126747</v>
      </c>
      <c r="D72" s="131">
        <f>+'Tabel 2026 52 weken'!D72</f>
        <v>0.58499999999999996</v>
      </c>
      <c r="E72" s="129"/>
      <c r="F72" s="221">
        <f t="shared" si="0"/>
        <v>0</v>
      </c>
      <c r="G72" s="220"/>
      <c r="H72" s="221">
        <f t="shared" si="1"/>
        <v>0</v>
      </c>
      <c r="J72" s="132">
        <f>+'Tabel 2026 52 weken'!J72</f>
        <v>0.874</v>
      </c>
      <c r="K72" s="130"/>
      <c r="L72" s="223">
        <f t="shared" si="2"/>
        <v>0</v>
      </c>
      <c r="M72" s="222"/>
      <c r="N72" s="223">
        <f t="shared" si="3"/>
        <v>0</v>
      </c>
    </row>
    <row r="73" spans="1:16" ht="15" x14ac:dyDescent="0.2">
      <c r="A73" s="175">
        <f>+'Tabel 2026 52 weken'!A73</f>
        <v>126748</v>
      </c>
      <c r="B73" s="175">
        <f>+'Tabel 2026 52 weken'!B73</f>
        <v>130638</v>
      </c>
      <c r="D73" s="131">
        <f>+'Tabel 2026 52 weken'!D73</f>
        <v>0.56399999999999995</v>
      </c>
      <c r="E73" s="129"/>
      <c r="F73" s="221">
        <f t="shared" si="0"/>
        <v>0</v>
      </c>
      <c r="G73" s="220"/>
      <c r="H73" s="221">
        <f t="shared" si="1"/>
        <v>0</v>
      </c>
      <c r="J73" s="132">
        <f>+'Tabel 2026 52 weken'!J73</f>
        <v>0.87</v>
      </c>
      <c r="K73" s="130"/>
      <c r="L73" s="223">
        <f t="shared" si="2"/>
        <v>0</v>
      </c>
      <c r="M73" s="222"/>
      <c r="N73" s="223">
        <f t="shared" si="3"/>
        <v>0</v>
      </c>
    </row>
    <row r="74" spans="1:16" ht="15" x14ac:dyDescent="0.2">
      <c r="A74" s="175">
        <f>+'Tabel 2026 52 weken'!A74</f>
        <v>130639</v>
      </c>
      <c r="B74" s="175">
        <f>+'Tabel 2026 52 weken'!B74</f>
        <v>134527</v>
      </c>
      <c r="D74" s="131">
        <f>+'Tabel 2026 52 weken'!D74</f>
        <v>0.54200000000000004</v>
      </c>
      <c r="E74" s="129"/>
      <c r="F74" s="221">
        <f t="shared" si="0"/>
        <v>0</v>
      </c>
      <c r="G74" s="220"/>
      <c r="H74" s="221">
        <f t="shared" si="1"/>
        <v>0</v>
      </c>
      <c r="J74" s="132">
        <f>+'Tabel 2026 52 weken'!J74</f>
        <v>0.86699999999999999</v>
      </c>
      <c r="K74" s="130"/>
      <c r="L74" s="223">
        <f t="shared" si="2"/>
        <v>0</v>
      </c>
      <c r="M74" s="222"/>
      <c r="N74" s="223">
        <f t="shared" si="3"/>
        <v>0</v>
      </c>
    </row>
    <row r="75" spans="1:16" ht="15" x14ac:dyDescent="0.2">
      <c r="A75" s="175">
        <f>+'Tabel 2026 52 weken'!A75</f>
        <v>134528</v>
      </c>
      <c r="B75" s="175">
        <f>+'Tabel 2026 52 weken'!B75</f>
        <v>138420</v>
      </c>
      <c r="D75" s="131">
        <f>+'Tabel 2026 52 weken'!D75</f>
        <v>0.52300000000000002</v>
      </c>
      <c r="E75" s="129"/>
      <c r="F75" s="221">
        <f t="shared" si="0"/>
        <v>0</v>
      </c>
      <c r="G75" s="220"/>
      <c r="H75" s="221">
        <f t="shared" si="1"/>
        <v>0</v>
      </c>
      <c r="J75" s="132">
        <f>+'Tabel 2026 52 weken'!J75</f>
        <v>0.86</v>
      </c>
      <c r="K75" s="130"/>
      <c r="L75" s="223">
        <f t="shared" si="2"/>
        <v>0</v>
      </c>
      <c r="M75" s="222"/>
      <c r="N75" s="223">
        <f t="shared" si="3"/>
        <v>0</v>
      </c>
    </row>
    <row r="76" spans="1:16" ht="15" x14ac:dyDescent="0.2">
      <c r="A76" s="175">
        <f>+'Tabel 2026 52 weken'!A76</f>
        <v>138421</v>
      </c>
      <c r="B76" s="175">
        <f>+'Tabel 2026 52 weken'!B76</f>
        <v>142312</v>
      </c>
      <c r="D76" s="131">
        <f>+'Tabel 2026 52 weken'!D76</f>
        <v>0.504</v>
      </c>
      <c r="E76" s="129"/>
      <c r="F76" s="221">
        <f t="shared" si="0"/>
        <v>0</v>
      </c>
      <c r="G76" s="220"/>
      <c r="H76" s="221">
        <f t="shared" si="1"/>
        <v>0</v>
      </c>
      <c r="J76" s="132">
        <f>+'Tabel 2026 52 weken'!J76</f>
        <v>0.85399999999999998</v>
      </c>
      <c r="K76" s="130"/>
      <c r="L76" s="223">
        <f t="shared" si="2"/>
        <v>0</v>
      </c>
      <c r="M76" s="222"/>
      <c r="N76" s="223">
        <f t="shared" si="3"/>
        <v>0</v>
      </c>
    </row>
    <row r="77" spans="1:16" ht="15" x14ac:dyDescent="0.2">
      <c r="A77" s="175">
        <f>+'Tabel 2026 52 weken'!A77</f>
        <v>142313</v>
      </c>
      <c r="B77" s="175">
        <f>+'Tabel 2026 52 weken'!B77</f>
        <v>146205</v>
      </c>
      <c r="D77" s="131">
        <f>+'Tabel 2026 52 weken'!D77</f>
        <v>0.48499999999999999</v>
      </c>
      <c r="E77" s="129"/>
      <c r="F77" s="221">
        <f t="shared" si="0"/>
        <v>0</v>
      </c>
      <c r="G77" s="220"/>
      <c r="H77" s="221">
        <f t="shared" si="1"/>
        <v>0</v>
      </c>
      <c r="J77" s="132">
        <f>+'Tabel 2026 52 weken'!J77</f>
        <v>0.85</v>
      </c>
      <c r="K77" s="130"/>
      <c r="L77" s="223">
        <f t="shared" si="2"/>
        <v>0</v>
      </c>
      <c r="M77" s="222"/>
      <c r="N77" s="223">
        <f t="shared" si="3"/>
        <v>0</v>
      </c>
    </row>
    <row r="78" spans="1:16" ht="15" x14ac:dyDescent="0.2">
      <c r="A78" s="175">
        <f>+'Tabel 2026 52 weken'!A78</f>
        <v>146206</v>
      </c>
      <c r="B78" s="175">
        <f>+'Tabel 2026 52 weken'!B78</f>
        <v>150092</v>
      </c>
      <c r="D78" s="131">
        <f>+'Tabel 2026 52 weken'!D78</f>
        <v>0.46500000000000002</v>
      </c>
      <c r="E78" s="129"/>
      <c r="F78" s="221">
        <f t="shared" si="0"/>
        <v>0</v>
      </c>
      <c r="G78" s="220"/>
      <c r="H78" s="221">
        <f t="shared" si="1"/>
        <v>0</v>
      </c>
      <c r="J78" s="132">
        <f>+'Tabel 2026 52 weken'!J78</f>
        <v>0.84399999999999997</v>
      </c>
      <c r="K78" s="130"/>
      <c r="L78" s="223">
        <f t="shared" si="2"/>
        <v>0</v>
      </c>
      <c r="M78" s="222"/>
      <c r="N78" s="223">
        <f t="shared" si="3"/>
        <v>0</v>
      </c>
      <c r="O78" s="95"/>
      <c r="P78" s="10"/>
    </row>
    <row r="79" spans="1:16" ht="15" x14ac:dyDescent="0.2">
      <c r="A79" s="175">
        <f>+'Tabel 2026 52 weken'!A79</f>
        <v>150093</v>
      </c>
      <c r="B79" s="175">
        <f>+'Tabel 2026 52 weken'!B79</f>
        <v>153982</v>
      </c>
      <c r="D79" s="131">
        <f>+'Tabel 2026 52 weken'!D79</f>
        <v>0.44500000000000001</v>
      </c>
      <c r="E79" s="129"/>
      <c r="F79" s="221">
        <f t="shared" si="0"/>
        <v>0</v>
      </c>
      <c r="G79" s="220"/>
      <c r="H79" s="221">
        <f t="shared" si="1"/>
        <v>0</v>
      </c>
      <c r="J79" s="132">
        <f>+'Tabel 2026 52 weken'!J79</f>
        <v>0.84</v>
      </c>
      <c r="K79" s="130"/>
      <c r="L79" s="223">
        <f t="shared" si="2"/>
        <v>0</v>
      </c>
      <c r="M79" s="222"/>
      <c r="N79" s="223">
        <f t="shared" si="3"/>
        <v>0</v>
      </c>
    </row>
    <row r="80" spans="1:16" ht="15" x14ac:dyDescent="0.2">
      <c r="A80" s="175">
        <f>+'Tabel 2026 52 weken'!A80</f>
        <v>153983</v>
      </c>
      <c r="B80" s="175">
        <f>+'Tabel 2026 52 weken'!B80</f>
        <v>157877</v>
      </c>
      <c r="D80" s="131">
        <f>+'Tabel 2026 52 weken'!D80</f>
        <v>0.42499999999999999</v>
      </c>
      <c r="E80" s="129"/>
      <c r="F80" s="221">
        <f t="shared" si="0"/>
        <v>0</v>
      </c>
      <c r="G80" s="220"/>
      <c r="H80" s="221">
        <f t="shared" si="1"/>
        <v>0</v>
      </c>
      <c r="J80" s="132">
        <f>+'Tabel 2026 52 weken'!J80</f>
        <v>0.83299999999999996</v>
      </c>
      <c r="K80" s="130"/>
      <c r="L80" s="223">
        <f t="shared" si="2"/>
        <v>0</v>
      </c>
      <c r="M80" s="222"/>
      <c r="N80" s="223">
        <f t="shared" si="3"/>
        <v>0</v>
      </c>
    </row>
    <row r="81" spans="1:14" ht="15" x14ac:dyDescent="0.2">
      <c r="A81" s="175">
        <f>+'Tabel 2026 52 weken'!A81</f>
        <v>157878</v>
      </c>
      <c r="B81" s="175">
        <f>+'Tabel 2026 52 weken'!B81</f>
        <v>161766</v>
      </c>
      <c r="D81" s="131">
        <f>+'Tabel 2026 52 weken'!D81</f>
        <v>0.40500000000000003</v>
      </c>
      <c r="E81" s="129"/>
      <c r="F81" s="221">
        <f t="shared" si="0"/>
        <v>0</v>
      </c>
      <c r="G81" s="220"/>
      <c r="H81" s="221">
        <f t="shared" si="1"/>
        <v>0</v>
      </c>
      <c r="J81" s="132">
        <f>+'Tabel 2026 52 weken'!J81</f>
        <v>0.82699999999999996</v>
      </c>
      <c r="K81" s="130"/>
      <c r="L81" s="223">
        <f t="shared" si="2"/>
        <v>0</v>
      </c>
      <c r="M81" s="222"/>
      <c r="N81" s="223">
        <f t="shared" si="3"/>
        <v>0</v>
      </c>
    </row>
    <row r="82" spans="1:14" ht="15" x14ac:dyDescent="0.2">
      <c r="A82" s="175">
        <f>+'Tabel 2026 52 weken'!A82</f>
        <v>161767</v>
      </c>
      <c r="B82" s="175">
        <f>+'Tabel 2026 52 weken'!B82</f>
        <v>165657</v>
      </c>
      <c r="D82" s="131">
        <f>+'Tabel 2026 52 weken'!D82</f>
        <v>0.38500000000000001</v>
      </c>
      <c r="E82" s="129"/>
      <c r="F82" s="221">
        <f t="shared" si="0"/>
        <v>0</v>
      </c>
      <c r="G82" s="220"/>
      <c r="H82" s="221">
        <f t="shared" si="1"/>
        <v>0</v>
      </c>
      <c r="J82" s="132">
        <f>+'Tabel 2026 52 weken'!J82</f>
        <v>0.81699999999999995</v>
      </c>
      <c r="K82" s="130"/>
      <c r="L82" s="223">
        <f t="shared" si="2"/>
        <v>0</v>
      </c>
      <c r="M82" s="222"/>
      <c r="N82" s="223">
        <f t="shared" si="3"/>
        <v>0</v>
      </c>
    </row>
    <row r="83" spans="1:14" ht="15" x14ac:dyDescent="0.2">
      <c r="A83" s="175">
        <f>+'Tabel 2026 52 weken'!A83</f>
        <v>165658</v>
      </c>
      <c r="B83" s="175">
        <f>+'Tabel 2026 52 weken'!B83</f>
        <v>169547</v>
      </c>
      <c r="D83" s="131">
        <f>+'Tabel 2026 52 weken'!D83</f>
        <v>0.36499999999999999</v>
      </c>
      <c r="E83" s="129"/>
      <c r="F83" s="221">
        <f t="shared" si="0"/>
        <v>0</v>
      </c>
      <c r="G83" s="220"/>
      <c r="H83" s="221">
        <f t="shared" si="1"/>
        <v>0</v>
      </c>
      <c r="J83" s="132">
        <f>+'Tabel 2026 52 weken'!J83</f>
        <v>0.81399999999999995</v>
      </c>
      <c r="K83" s="130"/>
      <c r="L83" s="223">
        <f t="shared" si="2"/>
        <v>0</v>
      </c>
      <c r="M83" s="222"/>
      <c r="N83" s="223">
        <f t="shared" si="3"/>
        <v>0</v>
      </c>
    </row>
    <row r="84" spans="1:14" ht="15" x14ac:dyDescent="0.2">
      <c r="A84" s="175">
        <f>+'Tabel 2026 52 weken'!A84</f>
        <v>169548</v>
      </c>
      <c r="B84" s="175">
        <f>+'Tabel 2026 52 weken'!B84</f>
        <v>173440</v>
      </c>
      <c r="D84" s="131">
        <f>+'Tabel 2026 52 weken'!D84</f>
        <v>0.36499999999999999</v>
      </c>
      <c r="E84" s="129"/>
      <c r="F84" s="221">
        <f t="shared" si="0"/>
        <v>0</v>
      </c>
      <c r="G84" s="220"/>
      <c r="H84" s="221">
        <f t="shared" si="1"/>
        <v>0</v>
      </c>
      <c r="J84" s="132">
        <f>+'Tabel 2026 52 weken'!J84</f>
        <v>0.80600000000000005</v>
      </c>
      <c r="K84" s="130"/>
      <c r="L84" s="223">
        <f t="shared" si="2"/>
        <v>0</v>
      </c>
      <c r="M84" s="222"/>
      <c r="N84" s="223">
        <f t="shared" si="3"/>
        <v>0</v>
      </c>
    </row>
    <row r="85" spans="1:14" ht="15" x14ac:dyDescent="0.2">
      <c r="A85" s="175">
        <f>+'Tabel 2026 52 weken'!A85</f>
        <v>173441</v>
      </c>
      <c r="B85" s="175">
        <f>+'Tabel 2026 52 weken'!B85</f>
        <v>177335</v>
      </c>
      <c r="D85" s="131">
        <f>+'Tabel 2026 52 weken'!D85</f>
        <v>0.36499999999999999</v>
      </c>
      <c r="E85" s="129"/>
      <c r="F85" s="221">
        <f t="shared" si="0"/>
        <v>0</v>
      </c>
      <c r="G85" s="220"/>
      <c r="H85" s="221">
        <f t="shared" si="1"/>
        <v>0</v>
      </c>
      <c r="J85" s="132">
        <f>+'Tabel 2026 52 weken'!J85</f>
        <v>0.79700000000000004</v>
      </c>
      <c r="K85" s="130"/>
      <c r="L85" s="223">
        <f t="shared" si="2"/>
        <v>0</v>
      </c>
      <c r="M85" s="222"/>
      <c r="N85" s="223">
        <f t="shared" si="3"/>
        <v>0</v>
      </c>
    </row>
    <row r="86" spans="1:14" ht="15" x14ac:dyDescent="0.2">
      <c r="A86" s="175">
        <f>+'Tabel 2026 52 weken'!A86</f>
        <v>177336</v>
      </c>
      <c r="B86" s="175">
        <f>+'Tabel 2026 52 weken'!B86</f>
        <v>181223</v>
      </c>
      <c r="D86" s="131">
        <f>+'Tabel 2026 52 weken'!D86</f>
        <v>0.36499999999999999</v>
      </c>
      <c r="E86" s="129"/>
      <c r="F86" s="221">
        <f t="shared" si="0"/>
        <v>0</v>
      </c>
      <c r="G86" s="220"/>
      <c r="H86" s="221">
        <f t="shared" si="1"/>
        <v>0</v>
      </c>
      <c r="J86" s="132">
        <f>+'Tabel 2026 52 weken'!J86</f>
        <v>0.79100000000000004</v>
      </c>
      <c r="K86" s="130"/>
      <c r="L86" s="223">
        <f t="shared" si="2"/>
        <v>0</v>
      </c>
      <c r="M86" s="222"/>
      <c r="N86" s="223">
        <f t="shared" si="3"/>
        <v>0</v>
      </c>
    </row>
    <row r="87" spans="1:14" ht="15" x14ac:dyDescent="0.2">
      <c r="A87" s="175">
        <f>+'Tabel 2026 52 weken'!A87</f>
        <v>181224</v>
      </c>
      <c r="B87" s="175">
        <f>+'Tabel 2026 52 weken'!B87</f>
        <v>185114</v>
      </c>
      <c r="D87" s="131">
        <f>+'Tabel 2026 52 weken'!D87</f>
        <v>0.36499999999999999</v>
      </c>
      <c r="E87" s="129"/>
      <c r="F87" s="221">
        <f t="shared" si="0"/>
        <v>0</v>
      </c>
      <c r="G87" s="220"/>
      <c r="H87" s="221">
        <f t="shared" si="1"/>
        <v>0</v>
      </c>
      <c r="J87" s="132">
        <f>+'Tabel 2026 52 weken'!J87</f>
        <v>0.78200000000000003</v>
      </c>
      <c r="K87" s="130"/>
      <c r="L87" s="223">
        <f t="shared" si="2"/>
        <v>0</v>
      </c>
      <c r="M87" s="222"/>
      <c r="N87" s="223">
        <f t="shared" si="3"/>
        <v>0</v>
      </c>
    </row>
    <row r="88" spans="1:14" ht="15" x14ac:dyDescent="0.2">
      <c r="A88" s="175">
        <f>+'Tabel 2026 52 weken'!A88</f>
        <v>185115</v>
      </c>
      <c r="B88" s="175">
        <f>+'Tabel 2026 52 weken'!B88</f>
        <v>189002</v>
      </c>
      <c r="D88" s="131">
        <f>+'Tabel 2026 52 weken'!D88</f>
        <v>0.36499999999999999</v>
      </c>
      <c r="E88" s="129"/>
      <c r="F88" s="221">
        <f t="shared" si="0"/>
        <v>0</v>
      </c>
      <c r="G88" s="220"/>
      <c r="H88" s="221">
        <f t="shared" si="1"/>
        <v>0</v>
      </c>
      <c r="J88" s="132">
        <f>+'Tabel 2026 52 weken'!J88</f>
        <v>0.77700000000000002</v>
      </c>
      <c r="K88" s="130"/>
      <c r="L88" s="223">
        <f t="shared" si="2"/>
        <v>0</v>
      </c>
      <c r="M88" s="222"/>
      <c r="N88" s="223">
        <f t="shared" si="3"/>
        <v>0</v>
      </c>
    </row>
    <row r="89" spans="1:14" ht="15" x14ac:dyDescent="0.2">
      <c r="A89" s="175">
        <f>+'Tabel 2026 52 weken'!A89</f>
        <v>189003</v>
      </c>
      <c r="B89" s="175">
        <f>+'Tabel 2026 52 weken'!B89</f>
        <v>192896</v>
      </c>
      <c r="D89" s="131">
        <f>+'Tabel 2026 52 weken'!D89</f>
        <v>0.36499999999999999</v>
      </c>
      <c r="E89" s="129"/>
      <c r="F89" s="221">
        <f t="shared" si="0"/>
        <v>0</v>
      </c>
      <c r="G89" s="220"/>
      <c r="H89" s="221">
        <f t="shared" si="1"/>
        <v>0</v>
      </c>
      <c r="J89" s="132">
        <f>+'Tabel 2026 52 weken'!J89</f>
        <v>0.76900000000000002</v>
      </c>
      <c r="K89" s="130"/>
      <c r="L89" s="223">
        <f t="shared" si="2"/>
        <v>0</v>
      </c>
      <c r="M89" s="222"/>
      <c r="N89" s="223">
        <f t="shared" si="3"/>
        <v>0</v>
      </c>
    </row>
    <row r="90" spans="1:14" ht="15" x14ac:dyDescent="0.2">
      <c r="A90" s="175">
        <f>+'Tabel 2026 52 weken'!A90</f>
        <v>192897</v>
      </c>
      <c r="B90" s="175">
        <f>+'Tabel 2026 52 weken'!B90</f>
        <v>196789</v>
      </c>
      <c r="D90" s="131">
        <f>+'Tabel 2026 52 weken'!D90</f>
        <v>0.36499999999999999</v>
      </c>
      <c r="E90" s="129"/>
      <c r="F90" s="221">
        <f t="shared" si="0"/>
        <v>0</v>
      </c>
      <c r="G90" s="220"/>
      <c r="H90" s="221">
        <f t="shared" si="1"/>
        <v>0</v>
      </c>
      <c r="J90" s="132">
        <f>+'Tabel 2026 52 weken'!J90</f>
        <v>0.76200000000000001</v>
      </c>
      <c r="K90" s="130"/>
      <c r="L90" s="223">
        <f t="shared" si="2"/>
        <v>0</v>
      </c>
      <c r="M90" s="222"/>
      <c r="N90" s="223">
        <f t="shared" si="3"/>
        <v>0</v>
      </c>
    </row>
    <row r="91" spans="1:14" ht="15" x14ac:dyDescent="0.2">
      <c r="A91" s="175">
        <f>+'Tabel 2026 52 weken'!A91</f>
        <v>196790</v>
      </c>
      <c r="B91" s="175">
        <f>+'Tabel 2026 52 weken'!B91</f>
        <v>200681</v>
      </c>
      <c r="D91" s="131">
        <f>+'Tabel 2026 52 weken'!D91</f>
        <v>0.36499999999999999</v>
      </c>
      <c r="E91" s="129"/>
      <c r="F91" s="221">
        <f t="shared" si="0"/>
        <v>0</v>
      </c>
      <c r="G91" s="220"/>
      <c r="H91" s="221">
        <f t="shared" si="1"/>
        <v>0</v>
      </c>
      <c r="J91" s="132">
        <f>+'Tabel 2026 52 weken'!J91</f>
        <v>0.755</v>
      </c>
      <c r="K91" s="130"/>
      <c r="L91" s="223">
        <f t="shared" si="2"/>
        <v>0</v>
      </c>
      <c r="M91" s="222"/>
      <c r="N91" s="223">
        <f t="shared" si="3"/>
        <v>0</v>
      </c>
    </row>
    <row r="92" spans="1:14" ht="15" x14ac:dyDescent="0.2">
      <c r="A92" s="175">
        <f>+'Tabel 2026 52 weken'!A92</f>
        <v>200682</v>
      </c>
      <c r="B92" s="175">
        <f>+'Tabel 2026 52 weken'!B92</f>
        <v>204571</v>
      </c>
      <c r="D92" s="131">
        <f>+'Tabel 2026 52 weken'!D92</f>
        <v>0.36499999999999999</v>
      </c>
      <c r="E92" s="129"/>
      <c r="F92" s="221">
        <f t="shared" si="0"/>
        <v>0</v>
      </c>
      <c r="G92" s="220"/>
      <c r="H92" s="221">
        <f t="shared" si="1"/>
        <v>0</v>
      </c>
      <c r="J92" s="132">
        <f>+'Tabel 2026 52 weken'!J92</f>
        <v>0.745</v>
      </c>
      <c r="K92" s="130"/>
      <c r="L92" s="223">
        <f t="shared" si="2"/>
        <v>0</v>
      </c>
      <c r="M92" s="222"/>
      <c r="N92" s="223">
        <f t="shared" si="3"/>
        <v>0</v>
      </c>
    </row>
    <row r="93" spans="1:14" ht="15" x14ac:dyDescent="0.2">
      <c r="A93" s="175">
        <f>+'Tabel 2026 52 weken'!A93</f>
        <v>204572</v>
      </c>
      <c r="B93" s="175">
        <f>+'Tabel 2026 52 weken'!B93</f>
        <v>208458</v>
      </c>
      <c r="D93" s="131">
        <f>+'Tabel 2026 52 weken'!D93</f>
        <v>0.36499999999999999</v>
      </c>
      <c r="E93" s="129"/>
      <c r="F93" s="221">
        <f t="shared" si="0"/>
        <v>0</v>
      </c>
      <c r="G93" s="220"/>
      <c r="H93" s="221">
        <f t="shared" si="1"/>
        <v>0</v>
      </c>
      <c r="J93" s="132">
        <f>+'Tabel 2026 52 weken'!J93</f>
        <v>0.74</v>
      </c>
      <c r="K93" s="130"/>
      <c r="L93" s="223">
        <f t="shared" si="2"/>
        <v>0</v>
      </c>
      <c r="M93" s="222"/>
      <c r="N93" s="223">
        <f t="shared" si="3"/>
        <v>0</v>
      </c>
    </row>
    <row r="94" spans="1:14" ht="15" x14ac:dyDescent="0.2">
      <c r="A94" s="175">
        <f>+'Tabel 2026 52 weken'!A94</f>
        <v>208459</v>
      </c>
      <c r="B94" s="175">
        <f>+'Tabel 2026 52 weken'!B94</f>
        <v>212353</v>
      </c>
      <c r="D94" s="131">
        <f>+'Tabel 2026 52 weken'!D94</f>
        <v>0.36499999999999999</v>
      </c>
      <c r="E94" s="129"/>
      <c r="F94" s="221">
        <f t="shared" si="0"/>
        <v>0</v>
      </c>
      <c r="G94" s="220"/>
      <c r="H94" s="221">
        <f t="shared" si="1"/>
        <v>0</v>
      </c>
      <c r="J94" s="132">
        <f>+'Tabel 2026 52 weken'!J94</f>
        <v>0.73299999999999998</v>
      </c>
      <c r="K94" s="130"/>
      <c r="L94" s="223">
        <f t="shared" si="2"/>
        <v>0</v>
      </c>
      <c r="M94" s="222"/>
      <c r="N94" s="223">
        <f t="shared" si="3"/>
        <v>0</v>
      </c>
    </row>
    <row r="95" spans="1:14" ht="15" x14ac:dyDescent="0.2">
      <c r="A95" s="175">
        <f>+'Tabel 2026 52 weken'!A95</f>
        <v>212354</v>
      </c>
      <c r="B95" s="175">
        <f>+'Tabel 2026 52 weken'!B95</f>
        <v>216242</v>
      </c>
      <c r="D95" s="131">
        <f>+'Tabel 2026 52 weken'!D95</f>
        <v>0.36499999999999999</v>
      </c>
      <c r="E95" s="129"/>
      <c r="F95" s="221">
        <f t="shared" si="0"/>
        <v>0</v>
      </c>
      <c r="G95" s="220"/>
      <c r="H95" s="221">
        <f t="shared" si="1"/>
        <v>0</v>
      </c>
      <c r="J95" s="132">
        <f>+'Tabel 2026 52 weken'!J95</f>
        <v>0.72499999999999998</v>
      </c>
      <c r="K95" s="130"/>
      <c r="L95" s="223">
        <f t="shared" si="2"/>
        <v>0</v>
      </c>
      <c r="M95" s="222"/>
      <c r="N95" s="223">
        <f t="shared" si="3"/>
        <v>0</v>
      </c>
    </row>
    <row r="96" spans="1:14" ht="15" x14ac:dyDescent="0.2">
      <c r="A96" s="175">
        <f>+'Tabel 2026 52 weken'!A96</f>
        <v>216243</v>
      </c>
      <c r="B96" s="175">
        <f>+'Tabel 2026 52 weken'!B96</f>
        <v>220134</v>
      </c>
      <c r="D96" s="131">
        <f>+'Tabel 2026 52 weken'!D96</f>
        <v>0.36499999999999999</v>
      </c>
      <c r="E96" s="129"/>
      <c r="F96" s="221">
        <f t="shared" si="0"/>
        <v>0</v>
      </c>
      <c r="G96" s="220"/>
      <c r="H96" s="221">
        <f t="shared" si="1"/>
        <v>0</v>
      </c>
      <c r="J96" s="132">
        <f>+'Tabel 2026 52 weken'!J96</f>
        <v>0.71799999999999997</v>
      </c>
      <c r="K96" s="130"/>
      <c r="L96" s="223">
        <f t="shared" si="2"/>
        <v>0</v>
      </c>
      <c r="M96" s="222"/>
      <c r="N96" s="223">
        <f t="shared" si="3"/>
        <v>0</v>
      </c>
    </row>
    <row r="97" spans="1:14" ht="15" x14ac:dyDescent="0.2">
      <c r="A97" s="175">
        <f>+'Tabel 2026 52 weken'!A97</f>
        <v>220135</v>
      </c>
      <c r="B97" s="175">
        <f>+'Tabel 2026 52 weken'!B97</f>
        <v>224026</v>
      </c>
      <c r="D97" s="131">
        <f>+'Tabel 2026 52 weken'!D97</f>
        <v>0.36499999999999999</v>
      </c>
      <c r="E97" s="129"/>
      <c r="F97" s="221">
        <f t="shared" si="0"/>
        <v>0</v>
      </c>
      <c r="G97" s="220"/>
      <c r="H97" s="221">
        <f t="shared" si="1"/>
        <v>0</v>
      </c>
      <c r="J97" s="132">
        <f>+'Tabel 2026 52 weken'!J97</f>
        <v>0.71199999999999997</v>
      </c>
      <c r="K97" s="130"/>
      <c r="L97" s="223">
        <f t="shared" si="2"/>
        <v>0</v>
      </c>
      <c r="M97" s="222"/>
      <c r="N97" s="223">
        <f t="shared" si="3"/>
        <v>0</v>
      </c>
    </row>
    <row r="98" spans="1:14" ht="15" x14ac:dyDescent="0.2">
      <c r="A98" s="175">
        <f>+'Tabel 2026 52 weken'!A98</f>
        <v>224027</v>
      </c>
      <c r="B98" s="175">
        <f>+'Tabel 2026 52 weken'!B98</f>
        <v>227915</v>
      </c>
      <c r="D98" s="131">
        <f>+'Tabel 2026 52 weken'!D98</f>
        <v>0.36499999999999999</v>
      </c>
      <c r="E98" s="129"/>
      <c r="F98" s="221">
        <f t="shared" ref="F98:F101" si="4">IF($D$19&gt;=$F$28,($F$28*(100%-D98))+($F$19),$D$19*(100%-D98)+$F$19)</f>
        <v>0</v>
      </c>
      <c r="G98" s="220"/>
      <c r="H98" s="221">
        <f t="shared" ref="H98:H101" si="5">IF($D$20&gt;=$H$28,($H$28*(100%-D98))+($F$20),$D$20*(100%-D98)+($F$20))</f>
        <v>0</v>
      </c>
      <c r="J98" s="132">
        <f>+'Tabel 2026 52 weken'!J98</f>
        <v>0.70399999999999996</v>
      </c>
      <c r="K98" s="130"/>
      <c r="L98" s="223">
        <f t="shared" ref="L98:L101" si="6">IF($D$19&gt;=$L$28,($L$28*(100%-J98))+(F$19),$D$19*(100%-J98)+$F$19)</f>
        <v>0</v>
      </c>
      <c r="M98" s="222"/>
      <c r="N98" s="223">
        <f t="shared" ref="N98:N101" si="7">IF($D$20&gt;=$H$28,($H$28*(100%-J98))+($F$20),$D$20*(100%-J98)+($F$20))</f>
        <v>0</v>
      </c>
    </row>
    <row r="99" spans="1:14" ht="15" x14ac:dyDescent="0.2">
      <c r="A99" s="175">
        <f>+'Tabel 2026 52 weken'!A99</f>
        <v>227916</v>
      </c>
      <c r="B99" s="175">
        <f>+'Tabel 2026 52 weken'!B99</f>
        <v>231807</v>
      </c>
      <c r="D99" s="131">
        <f>+'Tabel 2026 52 weken'!D99</f>
        <v>0.36499999999999999</v>
      </c>
      <c r="E99" s="129"/>
      <c r="F99" s="221">
        <f t="shared" si="4"/>
        <v>0</v>
      </c>
      <c r="G99" s="220"/>
      <c r="H99" s="221">
        <f t="shared" si="5"/>
        <v>0</v>
      </c>
      <c r="J99" s="132">
        <f>+'Tabel 2026 52 weken'!J99</f>
        <v>0.69599999999999995</v>
      </c>
      <c r="K99" s="130"/>
      <c r="L99" s="223">
        <f t="shared" si="6"/>
        <v>0</v>
      </c>
      <c r="M99" s="222"/>
      <c r="N99" s="223">
        <f t="shared" si="7"/>
        <v>0</v>
      </c>
    </row>
    <row r="100" spans="1:14" ht="15" x14ac:dyDescent="0.2">
      <c r="A100" s="175">
        <f>+'Tabel 2026 52 weken'!A100</f>
        <v>231808</v>
      </c>
      <c r="B100" s="175">
        <f>+'Tabel 2026 52 weken'!B100</f>
        <v>235697</v>
      </c>
      <c r="D100" s="131">
        <f>+'Tabel 2026 52 weken'!D100</f>
        <v>0.36499999999999999</v>
      </c>
      <c r="E100" s="129"/>
      <c r="F100" s="221">
        <f t="shared" si="4"/>
        <v>0</v>
      </c>
      <c r="G100" s="220"/>
      <c r="H100" s="221">
        <f t="shared" si="5"/>
        <v>0</v>
      </c>
      <c r="J100" s="132">
        <f>+'Tabel 2026 52 weken'!J100</f>
        <v>0.69099999999999995</v>
      </c>
      <c r="K100" s="130"/>
      <c r="L100" s="223">
        <f t="shared" si="6"/>
        <v>0</v>
      </c>
      <c r="M100" s="222"/>
      <c r="N100" s="223">
        <f t="shared" si="7"/>
        <v>0</v>
      </c>
    </row>
    <row r="101" spans="1:14" ht="15" x14ac:dyDescent="0.2">
      <c r="A101" s="175">
        <f>+'Tabel 2026 52 weken'!A101</f>
        <v>235698</v>
      </c>
      <c r="B101" s="175" t="str">
        <f>+'Tabel 2026 52 weken'!B101</f>
        <v>en hoger</v>
      </c>
      <c r="D101" s="131">
        <f>+'Tabel 2026 52 weken'!D101</f>
        <v>0.36499999999999999</v>
      </c>
      <c r="E101" s="129"/>
      <c r="F101" s="221">
        <f t="shared" si="4"/>
        <v>0</v>
      </c>
      <c r="G101" s="220"/>
      <c r="H101" s="221">
        <f t="shared" si="5"/>
        <v>0</v>
      </c>
      <c r="J101" s="132">
        <f>+'Tabel 2026 52 weken'!J101</f>
        <v>0.68200000000000005</v>
      </c>
      <c r="K101" s="130"/>
      <c r="L101" s="223">
        <f t="shared" si="6"/>
        <v>0</v>
      </c>
      <c r="M101" s="222"/>
      <c r="N101" s="223">
        <f t="shared" si="7"/>
        <v>0</v>
      </c>
    </row>
    <row r="103" spans="1:14" x14ac:dyDescent="0.2">
      <c r="F103" s="69">
        <f>SUM(F33:F101)</f>
        <v>0</v>
      </c>
      <c r="H103" s="69">
        <f>SUM(H33:H101)</f>
        <v>0</v>
      </c>
      <c r="J103" s="69"/>
      <c r="L103" s="69">
        <f>SUM(L33:L101)</f>
        <v>0</v>
      </c>
      <c r="N103" s="69">
        <f>SUM(N33:N101)</f>
        <v>0</v>
      </c>
    </row>
    <row r="104" spans="1:14" x14ac:dyDescent="0.2">
      <c r="A104" s="314">
        <f>+SUM(A33:B101)+SUM(D33:D101)+SUM(J33:J101)</f>
        <v>15483327.014</v>
      </c>
      <c r="B104" s="314"/>
    </row>
    <row r="105" spans="1:14" x14ac:dyDescent="0.2">
      <c r="A105" s="96"/>
    </row>
    <row r="106" spans="1:14" x14ac:dyDescent="0.2">
      <c r="A106" s="96"/>
    </row>
    <row r="110" spans="1:14" ht="15.75" x14ac:dyDescent="0.2">
      <c r="A110" s="125"/>
      <c r="B110" s="126"/>
      <c r="C110" s="124"/>
      <c r="D110" s="124"/>
    </row>
    <row r="111" spans="1:14" ht="15.75" x14ac:dyDescent="0.2">
      <c r="A111" s="126"/>
      <c r="B111" s="126"/>
      <c r="C111" s="124"/>
      <c r="D111" s="124"/>
    </row>
    <row r="112" spans="1:14" ht="15.75" x14ac:dyDescent="0.2">
      <c r="A112" s="126"/>
      <c r="B112" s="126"/>
      <c r="C112" s="124"/>
      <c r="D112" s="124"/>
    </row>
    <row r="113" spans="1:10" ht="15.75" x14ac:dyDescent="0.2">
      <c r="A113" s="126"/>
      <c r="B113" s="126"/>
      <c r="C113" s="124"/>
      <c r="D113" s="124"/>
    </row>
    <row r="114" spans="1:10" ht="15.75" x14ac:dyDescent="0.2">
      <c r="A114" s="126"/>
      <c r="B114" s="126"/>
      <c r="C114" s="124"/>
      <c r="D114" s="124"/>
    </row>
    <row r="115" spans="1:10" ht="15.75" x14ac:dyDescent="0.2">
      <c r="A115" s="126"/>
      <c r="B115" s="126"/>
      <c r="C115" s="124"/>
      <c r="D115" s="124"/>
      <c r="F115"/>
      <c r="H115"/>
      <c r="J115"/>
    </row>
    <row r="116" spans="1:10" ht="15.75" x14ac:dyDescent="0.2">
      <c r="A116" s="126"/>
      <c r="B116" s="126"/>
      <c r="C116" s="124"/>
      <c r="D116" s="124"/>
      <c r="F116"/>
      <c r="H116"/>
      <c r="J116"/>
    </row>
    <row r="117" spans="1:10" ht="15.75" x14ac:dyDescent="0.2">
      <c r="A117" s="126"/>
      <c r="B117" s="126"/>
      <c r="C117" s="124"/>
      <c r="D117" s="124"/>
      <c r="F117"/>
      <c r="H117"/>
      <c r="J117"/>
    </row>
    <row r="118" spans="1:10" ht="15.75" x14ac:dyDescent="0.2">
      <c r="A118" s="126"/>
      <c r="B118" s="126"/>
      <c r="C118" s="124"/>
      <c r="D118" s="124"/>
      <c r="F118"/>
      <c r="H118"/>
      <c r="J118"/>
    </row>
    <row r="119" spans="1:10" ht="15.75" x14ac:dyDescent="0.2">
      <c r="A119" s="126"/>
      <c r="B119" s="126"/>
      <c r="C119" s="124"/>
      <c r="D119" s="124"/>
      <c r="F119"/>
      <c r="H119"/>
      <c r="J119"/>
    </row>
    <row r="120" spans="1:10" ht="15.75" x14ac:dyDescent="0.2">
      <c r="A120" s="126"/>
      <c r="B120" s="126"/>
      <c r="C120" s="124"/>
      <c r="D120" s="124"/>
      <c r="F120"/>
      <c r="H120"/>
      <c r="J120"/>
    </row>
    <row r="121" spans="1:10" ht="15.75" x14ac:dyDescent="0.2">
      <c r="A121" s="126"/>
      <c r="B121" s="126"/>
      <c r="C121" s="124"/>
      <c r="D121" s="124"/>
      <c r="F121"/>
      <c r="H121"/>
      <c r="J121"/>
    </row>
    <row r="122" spans="1:10" ht="15.75" x14ac:dyDescent="0.2">
      <c r="A122" s="126"/>
      <c r="B122" s="126"/>
      <c r="C122" s="124"/>
      <c r="D122" s="124"/>
      <c r="F122"/>
      <c r="H122"/>
      <c r="J122"/>
    </row>
    <row r="123" spans="1:10" ht="15.75" x14ac:dyDescent="0.2">
      <c r="A123" s="126"/>
      <c r="B123" s="126"/>
      <c r="C123" s="124"/>
      <c r="D123" s="124"/>
      <c r="F123"/>
      <c r="H123"/>
      <c r="J123"/>
    </row>
    <row r="124" spans="1:10" ht="15.75" x14ac:dyDescent="0.2">
      <c r="A124" s="126"/>
      <c r="B124" s="126"/>
      <c r="C124" s="124"/>
      <c r="D124" s="124"/>
      <c r="F124"/>
      <c r="H124"/>
      <c r="J124"/>
    </row>
    <row r="125" spans="1:10" ht="15.75" x14ac:dyDescent="0.2">
      <c r="A125" s="126"/>
      <c r="B125" s="126"/>
      <c r="C125" s="124"/>
      <c r="D125" s="124"/>
      <c r="F125"/>
      <c r="H125"/>
      <c r="J125"/>
    </row>
    <row r="126" spans="1:10" ht="15.75" x14ac:dyDescent="0.2">
      <c r="A126" s="126"/>
      <c r="B126" s="126"/>
      <c r="C126" s="124"/>
      <c r="D126" s="124"/>
      <c r="F126"/>
      <c r="H126"/>
      <c r="J126"/>
    </row>
    <row r="127" spans="1:10" ht="15.75" x14ac:dyDescent="0.2">
      <c r="A127" s="126"/>
      <c r="B127" s="126"/>
      <c r="C127" s="124"/>
      <c r="D127" s="124"/>
      <c r="F127"/>
      <c r="H127"/>
      <c r="J127"/>
    </row>
    <row r="128" spans="1:10" ht="15.75" x14ac:dyDescent="0.2">
      <c r="A128" s="126"/>
      <c r="B128" s="126"/>
      <c r="C128" s="124"/>
      <c r="D128" s="124"/>
      <c r="F128"/>
      <c r="H128"/>
      <c r="J128"/>
    </row>
    <row r="129" spans="1:10" ht="15.75" x14ac:dyDescent="0.2">
      <c r="A129" s="126"/>
      <c r="B129" s="126"/>
      <c r="C129" s="124"/>
      <c r="D129" s="124"/>
      <c r="F129"/>
      <c r="H129"/>
      <c r="J129"/>
    </row>
    <row r="130" spans="1:10" ht="15.75" x14ac:dyDescent="0.2">
      <c r="A130" s="126"/>
      <c r="B130" s="126"/>
      <c r="C130" s="124"/>
      <c r="D130" s="124"/>
      <c r="F130"/>
      <c r="H130"/>
      <c r="J130"/>
    </row>
    <row r="131" spans="1:10" ht="15.75" x14ac:dyDescent="0.2">
      <c r="A131" s="126"/>
      <c r="B131" s="126"/>
      <c r="C131" s="124"/>
      <c r="D131" s="124"/>
      <c r="F131"/>
      <c r="H131"/>
      <c r="J131"/>
    </row>
    <row r="132" spans="1:10" ht="15.75" x14ac:dyDescent="0.2">
      <c r="A132" s="126"/>
      <c r="B132" s="126"/>
      <c r="C132" s="124"/>
      <c r="D132" s="124"/>
      <c r="F132"/>
      <c r="H132"/>
      <c r="J132"/>
    </row>
    <row r="133" spans="1:10" ht="15.75" x14ac:dyDescent="0.2">
      <c r="A133" s="126"/>
      <c r="B133" s="126"/>
      <c r="C133" s="124"/>
      <c r="D133" s="124"/>
      <c r="F133"/>
      <c r="H133"/>
      <c r="J133"/>
    </row>
    <row r="134" spans="1:10" ht="15.75" x14ac:dyDescent="0.2">
      <c r="A134" s="126"/>
      <c r="B134" s="126"/>
      <c r="C134" s="124"/>
      <c r="D134" s="124"/>
      <c r="F134"/>
      <c r="H134"/>
      <c r="J134"/>
    </row>
    <row r="135" spans="1:10" ht="15.75" x14ac:dyDescent="0.2">
      <c r="A135" s="126"/>
      <c r="B135" s="126"/>
      <c r="C135" s="124"/>
      <c r="D135" s="124"/>
      <c r="F135"/>
      <c r="H135"/>
      <c r="J135"/>
    </row>
    <row r="136" spans="1:10" ht="15.75" x14ac:dyDescent="0.2">
      <c r="A136" s="126"/>
      <c r="B136" s="126"/>
      <c r="C136" s="124"/>
      <c r="D136" s="124"/>
      <c r="F136"/>
      <c r="H136"/>
      <c r="J136"/>
    </row>
    <row r="137" spans="1:10" ht="15.75" x14ac:dyDescent="0.2">
      <c r="A137" s="126"/>
      <c r="B137" s="126"/>
      <c r="C137" s="124"/>
      <c r="D137" s="124"/>
      <c r="F137"/>
      <c r="H137"/>
      <c r="J137"/>
    </row>
    <row r="138" spans="1:10" ht="15.75" x14ac:dyDescent="0.2">
      <c r="A138" s="126"/>
      <c r="B138" s="126"/>
      <c r="C138" s="124"/>
      <c r="D138" s="124"/>
      <c r="F138"/>
      <c r="H138"/>
      <c r="J138"/>
    </row>
    <row r="139" spans="1:10" ht="15.75" x14ac:dyDescent="0.2">
      <c r="A139" s="126"/>
      <c r="B139" s="126"/>
      <c r="C139" s="124"/>
      <c r="D139" s="124"/>
      <c r="F139"/>
      <c r="H139"/>
      <c r="J139"/>
    </row>
    <row r="140" spans="1:10" ht="15.75" x14ac:dyDescent="0.2">
      <c r="A140" s="126"/>
      <c r="B140" s="126"/>
      <c r="C140" s="124"/>
      <c r="D140" s="124"/>
      <c r="F140"/>
      <c r="H140"/>
      <c r="J140"/>
    </row>
    <row r="141" spans="1:10" ht="15.75" x14ac:dyDescent="0.2">
      <c r="A141" s="126"/>
      <c r="B141" s="126"/>
      <c r="C141" s="124"/>
      <c r="D141" s="124"/>
      <c r="F141"/>
      <c r="H141"/>
      <c r="J141"/>
    </row>
    <row r="142" spans="1:10" ht="15.75" x14ac:dyDescent="0.2">
      <c r="A142" s="126"/>
      <c r="B142" s="126"/>
      <c r="C142" s="124"/>
      <c r="D142" s="124"/>
      <c r="F142"/>
      <c r="H142"/>
      <c r="J142"/>
    </row>
    <row r="143" spans="1:10" ht="15.75" x14ac:dyDescent="0.2">
      <c r="A143" s="126"/>
      <c r="B143" s="126"/>
      <c r="C143" s="124"/>
      <c r="D143" s="124"/>
      <c r="F143"/>
      <c r="H143"/>
      <c r="J143"/>
    </row>
    <row r="144" spans="1:10" ht="15.75" x14ac:dyDescent="0.2">
      <c r="A144" s="126"/>
      <c r="B144" s="126"/>
      <c r="C144" s="124"/>
      <c r="D144" s="124"/>
      <c r="F144"/>
      <c r="H144"/>
      <c r="J144"/>
    </row>
    <row r="145" spans="1:10" ht="15.75" x14ac:dyDescent="0.2">
      <c r="A145" s="126"/>
      <c r="B145" s="126"/>
      <c r="C145" s="124"/>
      <c r="D145" s="124"/>
      <c r="F145"/>
      <c r="H145"/>
      <c r="J145"/>
    </row>
    <row r="146" spans="1:10" ht="15.75" x14ac:dyDescent="0.2">
      <c r="A146" s="126"/>
      <c r="B146" s="126"/>
      <c r="C146" s="124"/>
      <c r="D146" s="124"/>
      <c r="F146"/>
      <c r="H146"/>
      <c r="J146"/>
    </row>
    <row r="147" spans="1:10" ht="15.75" x14ac:dyDescent="0.2">
      <c r="A147" s="126"/>
      <c r="B147" s="126"/>
      <c r="C147" s="124"/>
      <c r="D147" s="124"/>
      <c r="F147"/>
      <c r="H147"/>
      <c r="J147"/>
    </row>
    <row r="148" spans="1:10" ht="15.75" x14ac:dyDescent="0.2">
      <c r="A148" s="126"/>
      <c r="B148" s="126"/>
      <c r="C148" s="124"/>
      <c r="D148" s="124"/>
      <c r="F148"/>
      <c r="H148"/>
      <c r="J148"/>
    </row>
    <row r="149" spans="1:10" ht="15.75" x14ac:dyDescent="0.2">
      <c r="A149" s="126"/>
      <c r="B149" s="126"/>
      <c r="C149" s="124"/>
      <c r="D149" s="124"/>
      <c r="F149"/>
      <c r="H149"/>
      <c r="J149"/>
    </row>
    <row r="150" spans="1:10" ht="15.75" x14ac:dyDescent="0.2">
      <c r="A150" s="127"/>
      <c r="B150" s="128"/>
      <c r="C150" s="124"/>
      <c r="D150" s="124"/>
      <c r="F150"/>
      <c r="H150"/>
      <c r="J150"/>
    </row>
    <row r="151" spans="1:10" ht="15.75" x14ac:dyDescent="0.2">
      <c r="A151" s="128"/>
      <c r="B151" s="128"/>
      <c r="C151" s="124"/>
      <c r="D151" s="124"/>
      <c r="F151"/>
      <c r="H151"/>
      <c r="J151"/>
    </row>
    <row r="152" spans="1:10" ht="15.75" x14ac:dyDescent="0.2">
      <c r="A152" s="128"/>
      <c r="B152" s="128"/>
      <c r="C152" s="124"/>
      <c r="D152" s="124"/>
      <c r="F152"/>
      <c r="H152"/>
      <c r="J152"/>
    </row>
    <row r="153" spans="1:10" ht="15.75" x14ac:dyDescent="0.2">
      <c r="A153" s="128"/>
      <c r="B153" s="128"/>
      <c r="C153" s="124"/>
      <c r="D153" s="124"/>
      <c r="F153"/>
      <c r="H153"/>
      <c r="J153"/>
    </row>
    <row r="154" spans="1:10" ht="15.75" x14ac:dyDescent="0.2">
      <c r="A154" s="128"/>
      <c r="B154" s="128"/>
      <c r="C154" s="124"/>
      <c r="D154" s="124"/>
      <c r="F154"/>
      <c r="H154"/>
      <c r="J154"/>
    </row>
    <row r="155" spans="1:10" ht="15.75" x14ac:dyDescent="0.2">
      <c r="A155" s="128"/>
      <c r="B155" s="128"/>
      <c r="C155" s="124"/>
      <c r="D155" s="124"/>
      <c r="F155"/>
      <c r="H155"/>
      <c r="J155"/>
    </row>
    <row r="156" spans="1:10" ht="15.75" x14ac:dyDescent="0.2">
      <c r="A156" s="128"/>
      <c r="B156" s="128"/>
      <c r="C156" s="124"/>
      <c r="D156" s="124"/>
      <c r="F156"/>
      <c r="H156"/>
      <c r="J156"/>
    </row>
    <row r="157" spans="1:10" ht="15.75" x14ac:dyDescent="0.2">
      <c r="A157" s="128"/>
      <c r="B157" s="128"/>
      <c r="C157" s="124"/>
      <c r="D157" s="124"/>
      <c r="F157"/>
      <c r="H157"/>
      <c r="J157"/>
    </row>
    <row r="158" spans="1:10" ht="15.75" x14ac:dyDescent="0.2">
      <c r="A158" s="128"/>
      <c r="B158" s="128"/>
      <c r="C158" s="124"/>
      <c r="D158" s="124"/>
      <c r="F158"/>
      <c r="H158"/>
      <c r="J158"/>
    </row>
    <row r="159" spans="1:10" ht="15.75" x14ac:dyDescent="0.2">
      <c r="A159" s="128"/>
      <c r="B159" s="128"/>
      <c r="C159" s="124"/>
      <c r="D159" s="124"/>
      <c r="F159"/>
      <c r="H159"/>
      <c r="J159"/>
    </row>
    <row r="160" spans="1:10" ht="15.75" x14ac:dyDescent="0.2">
      <c r="A160" s="128"/>
      <c r="B160" s="128"/>
      <c r="C160" s="124"/>
      <c r="D160" s="124"/>
      <c r="F160"/>
      <c r="H160"/>
      <c r="J160"/>
    </row>
    <row r="161" spans="1:10" ht="15.75" x14ac:dyDescent="0.2">
      <c r="A161" s="128"/>
      <c r="B161" s="128"/>
      <c r="C161" s="124"/>
      <c r="D161" s="124"/>
      <c r="F161"/>
      <c r="H161"/>
      <c r="J161"/>
    </row>
    <row r="162" spans="1:10" ht="15.75" x14ac:dyDescent="0.2">
      <c r="A162" s="128"/>
      <c r="B162" s="128"/>
      <c r="C162" s="124"/>
      <c r="D162" s="124"/>
      <c r="F162"/>
      <c r="H162"/>
      <c r="J162"/>
    </row>
    <row r="163" spans="1:10" ht="15.75" x14ac:dyDescent="0.2">
      <c r="A163" s="128"/>
      <c r="B163" s="128"/>
      <c r="C163" s="124"/>
      <c r="D163" s="124"/>
      <c r="F163"/>
      <c r="H163"/>
      <c r="J163"/>
    </row>
    <row r="164" spans="1:10" ht="15.75" x14ac:dyDescent="0.2">
      <c r="A164" s="128"/>
      <c r="B164" s="128"/>
      <c r="C164" s="124"/>
      <c r="D164" s="124"/>
      <c r="F164"/>
      <c r="H164"/>
      <c r="J164"/>
    </row>
    <row r="165" spans="1:10" ht="15.75" x14ac:dyDescent="0.2">
      <c r="A165" s="128"/>
      <c r="B165" s="128"/>
      <c r="C165" s="124"/>
      <c r="D165" s="124"/>
      <c r="F165"/>
      <c r="H165"/>
      <c r="J165"/>
    </row>
    <row r="166" spans="1:10" ht="15.75" x14ac:dyDescent="0.2">
      <c r="A166" s="128"/>
      <c r="B166" s="128"/>
      <c r="C166" s="124"/>
      <c r="D166" s="124"/>
      <c r="F166"/>
      <c r="H166"/>
      <c r="J166"/>
    </row>
    <row r="167" spans="1:10" ht="15.75" x14ac:dyDescent="0.2">
      <c r="A167" s="128"/>
      <c r="B167" s="127"/>
      <c r="C167" s="124"/>
      <c r="D167" s="124"/>
      <c r="F167"/>
      <c r="H167"/>
      <c r="J167"/>
    </row>
    <row r="168" spans="1:10" ht="15.75" x14ac:dyDescent="0.2">
      <c r="A168" s="128"/>
      <c r="B168" s="128"/>
      <c r="C168" s="124"/>
      <c r="D168" s="124"/>
      <c r="F168"/>
      <c r="H168"/>
      <c r="J168"/>
    </row>
    <row r="169" spans="1:10" ht="15.75" x14ac:dyDescent="0.2">
      <c r="A169" s="128"/>
      <c r="B169" s="128"/>
      <c r="C169" s="124"/>
      <c r="D169" s="124"/>
      <c r="F169"/>
      <c r="H169"/>
      <c r="J169"/>
    </row>
    <row r="170" spans="1:10" ht="15.75" x14ac:dyDescent="0.2">
      <c r="A170" s="128"/>
      <c r="B170" s="128"/>
      <c r="C170" s="124"/>
      <c r="D170" s="124"/>
      <c r="F170"/>
      <c r="H170"/>
      <c r="J170"/>
    </row>
    <row r="171" spans="1:10" ht="15.75" x14ac:dyDescent="0.2">
      <c r="A171" s="128"/>
      <c r="B171" s="128"/>
      <c r="C171" s="124"/>
      <c r="D171" s="124"/>
      <c r="F171"/>
      <c r="H171"/>
      <c r="J171"/>
    </row>
    <row r="172" spans="1:10" ht="15.75" x14ac:dyDescent="0.2">
      <c r="A172" s="128"/>
      <c r="B172" s="128"/>
      <c r="C172" s="124"/>
      <c r="D172" s="124"/>
      <c r="F172"/>
      <c r="H172"/>
      <c r="J172"/>
    </row>
    <row r="173" spans="1:10" ht="15.75" x14ac:dyDescent="0.2">
      <c r="A173" s="128"/>
      <c r="B173" s="128"/>
      <c r="C173" s="124"/>
      <c r="D173" s="124"/>
      <c r="F173"/>
      <c r="H173"/>
      <c r="J173"/>
    </row>
    <row r="174" spans="1:10" ht="15.75" x14ac:dyDescent="0.2">
      <c r="A174" s="128"/>
      <c r="B174" s="128"/>
      <c r="C174" s="124"/>
      <c r="D174" s="124"/>
      <c r="F174"/>
      <c r="H174"/>
      <c r="J174"/>
    </row>
    <row r="175" spans="1:10" ht="15.75" x14ac:dyDescent="0.2">
      <c r="A175" s="128"/>
      <c r="B175" s="128"/>
      <c r="C175" s="124"/>
      <c r="D175" s="124"/>
      <c r="F175"/>
      <c r="H175"/>
      <c r="J175"/>
    </row>
    <row r="176" spans="1:10" ht="15.75" x14ac:dyDescent="0.2">
      <c r="A176" s="128"/>
      <c r="B176" s="128"/>
      <c r="C176" s="124"/>
      <c r="D176" s="124"/>
      <c r="F176"/>
      <c r="H176"/>
      <c r="J176"/>
    </row>
    <row r="177" spans="1:10" ht="15.75" x14ac:dyDescent="0.2">
      <c r="A177" s="128"/>
      <c r="B177" s="128"/>
      <c r="C177" s="124"/>
      <c r="D177" s="124"/>
      <c r="F177"/>
      <c r="H177"/>
      <c r="J177"/>
    </row>
    <row r="178" spans="1:10" ht="15.75" x14ac:dyDescent="0.2">
      <c r="A178" s="128"/>
      <c r="B178" s="125"/>
      <c r="C178" s="124"/>
      <c r="D178" s="124"/>
      <c r="F178"/>
      <c r="H178"/>
      <c r="J178"/>
    </row>
  </sheetData>
  <mergeCells count="4">
    <mergeCell ref="A24:B24"/>
    <mergeCell ref="D24:H24"/>
    <mergeCell ref="J24:N24"/>
    <mergeCell ref="A104:B10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I457"/>
  <sheetViews>
    <sheetView zoomScaleNormal="100" workbookViewId="0">
      <selection activeCell="N80" sqref="N80"/>
    </sheetView>
  </sheetViews>
  <sheetFormatPr defaultRowHeight="12.75" outlineLevelRow="2" x14ac:dyDescent="0.2"/>
  <cols>
    <col min="1" max="1" width="4.42578125" customWidth="1"/>
    <col min="3" max="3" width="14.7109375" bestFit="1" customWidth="1"/>
    <col min="4" max="4" width="14.140625" customWidth="1"/>
    <col min="5" max="8" width="12.5703125" style="12" customWidth="1"/>
    <col min="9" max="9" width="12.28515625" style="12" customWidth="1"/>
    <col min="10" max="10" width="12.5703125" style="12" bestFit="1" customWidth="1"/>
    <col min="11" max="14" width="12" style="12" customWidth="1"/>
    <col min="15" max="15" width="16.5703125" style="12" customWidth="1"/>
    <col min="16" max="16" width="12.7109375" style="12" bestFit="1" customWidth="1"/>
    <col min="17" max="17" width="14" style="12" bestFit="1" customWidth="1"/>
    <col min="18" max="18" width="12.7109375" style="12" bestFit="1" customWidth="1"/>
    <col min="19" max="19" width="14" style="12" bestFit="1" customWidth="1"/>
    <col min="20" max="20" width="9.28515625" customWidth="1"/>
    <col min="21" max="21" width="1.140625" customWidth="1"/>
    <col min="22" max="22" width="11.28515625" customWidth="1"/>
    <col min="23" max="23" width="10.28515625" style="13" customWidth="1"/>
    <col min="24" max="24" width="1.42578125" style="13" customWidth="1"/>
    <col min="25" max="25" width="9.28515625" bestFit="1" customWidth="1"/>
    <col min="26" max="28" width="9.85546875" bestFit="1" customWidth="1"/>
    <col min="29" max="29" width="9.7109375" bestFit="1" customWidth="1"/>
    <col min="30" max="30" width="1.7109375" customWidth="1"/>
  </cols>
  <sheetData>
    <row r="2" spans="2:35" x14ac:dyDescent="0.2">
      <c r="U2" s="15" t="s">
        <v>62</v>
      </c>
      <c r="V2" s="29"/>
      <c r="W2" s="16">
        <v>12</v>
      </c>
      <c r="X2" s="16">
        <v>2</v>
      </c>
      <c r="Y2">
        <v>1</v>
      </c>
      <c r="Z2">
        <v>2</v>
      </c>
      <c r="AA2">
        <v>3</v>
      </c>
      <c r="AB2">
        <v>4</v>
      </c>
      <c r="AC2">
        <v>5</v>
      </c>
      <c r="AE2">
        <v>1</v>
      </c>
      <c r="AF2">
        <v>2</v>
      </c>
      <c r="AG2">
        <v>3</v>
      </c>
      <c r="AH2">
        <v>4</v>
      </c>
      <c r="AI2">
        <v>5</v>
      </c>
    </row>
    <row r="3" spans="2:35" ht="13.5" hidden="1" outlineLevel="1" thickBot="1" x14ac:dyDescent="0.25">
      <c r="T3" s="15" t="s">
        <v>63</v>
      </c>
      <c r="U3" s="15"/>
      <c r="V3" s="14"/>
      <c r="W3" s="16"/>
      <c r="X3" s="16"/>
      <c r="Y3" s="31" t="s">
        <v>64</v>
      </c>
      <c r="Z3" s="31"/>
      <c r="AA3" s="31"/>
      <c r="AB3" s="31"/>
      <c r="AC3" s="31"/>
      <c r="AE3" s="31" t="s">
        <v>65</v>
      </c>
      <c r="AF3" s="31"/>
      <c r="AG3" s="31"/>
      <c r="AH3" s="31"/>
      <c r="AI3" s="31"/>
    </row>
    <row r="4" spans="2:35" hidden="1" outlineLevel="1" x14ac:dyDescent="0.2">
      <c r="B4" s="57" t="s">
        <v>66</v>
      </c>
      <c r="C4" s="18"/>
      <c r="D4" s="18" t="s">
        <v>67</v>
      </c>
      <c r="E4" s="45" t="s">
        <v>68</v>
      </c>
      <c r="F4" s="45" t="s">
        <v>69</v>
      </c>
      <c r="G4" s="45" t="s">
        <v>70</v>
      </c>
      <c r="H4" s="45" t="s">
        <v>71</v>
      </c>
      <c r="I4" s="45"/>
      <c r="J4" s="45"/>
      <c r="K4" s="45"/>
      <c r="L4" s="46"/>
      <c r="M4" s="47"/>
      <c r="N4" s="47"/>
      <c r="O4" s="47"/>
      <c r="P4" s="47"/>
      <c r="Q4" s="47"/>
      <c r="R4" s="47"/>
      <c r="S4" s="47"/>
      <c r="T4" s="19"/>
      <c r="U4" s="20"/>
      <c r="V4" s="21"/>
      <c r="W4" s="22"/>
      <c r="X4" s="22"/>
      <c r="Y4" s="19"/>
      <c r="Z4" s="19"/>
      <c r="AA4" s="19"/>
      <c r="AB4" s="19"/>
      <c r="AC4" s="19"/>
    </row>
    <row r="5" spans="2:35" hidden="1" outlineLevel="1" x14ac:dyDescent="0.2">
      <c r="B5" s="23" t="s">
        <v>72</v>
      </c>
      <c r="C5" s="19"/>
      <c r="D5" s="19">
        <v>1.5</v>
      </c>
      <c r="E5" s="47">
        <v>1.5</v>
      </c>
      <c r="F5" s="47">
        <v>1.5</v>
      </c>
      <c r="G5" s="47">
        <v>1.5</v>
      </c>
      <c r="H5" s="47">
        <v>1.5</v>
      </c>
      <c r="I5" s="47"/>
      <c r="J5" s="58">
        <f>SUM(D5:I5)*40</f>
        <v>300</v>
      </c>
      <c r="K5" s="47">
        <f>5*10.5*12</f>
        <v>630</v>
      </c>
      <c r="L5" s="48">
        <f>K5+J5</f>
        <v>930</v>
      </c>
      <c r="M5" s="47"/>
      <c r="N5" s="47"/>
      <c r="O5" s="47"/>
      <c r="P5" s="47"/>
      <c r="Q5" s="47"/>
      <c r="R5" s="47"/>
      <c r="S5" s="47"/>
      <c r="T5" s="24">
        <f>+L5/5</f>
        <v>186</v>
      </c>
      <c r="U5" s="19"/>
      <c r="V5" s="25">
        <f>+T5*$V$2</f>
        <v>0</v>
      </c>
      <c r="W5" s="25">
        <f>+V5/$W$2</f>
        <v>0</v>
      </c>
      <c r="X5" s="25"/>
      <c r="Y5" s="25">
        <f>+W5*$Y$2</f>
        <v>0</v>
      </c>
      <c r="Z5" s="25">
        <f>+W5*$Z$2</f>
        <v>0</v>
      </c>
      <c r="AA5" s="25">
        <f>+W5*$AA$2</f>
        <v>0</v>
      </c>
      <c r="AB5" s="25">
        <f>+W5*$AB$2</f>
        <v>0</v>
      </c>
      <c r="AC5" s="25">
        <f>+W5*$AC$2</f>
        <v>0</v>
      </c>
      <c r="AE5" s="30">
        <f>+T5/12</f>
        <v>15.5</v>
      </c>
      <c r="AF5" s="10">
        <f>+AE5*$AF$2</f>
        <v>31</v>
      </c>
      <c r="AG5" s="10">
        <f>+AE5*$AG$2</f>
        <v>46.5</v>
      </c>
      <c r="AH5" s="10">
        <f>+AE5*$AH$2</f>
        <v>62</v>
      </c>
      <c r="AI5" s="10">
        <f>+AE5*$AI$2</f>
        <v>77.5</v>
      </c>
    </row>
    <row r="6" spans="2:35" hidden="1" outlineLevel="1" x14ac:dyDescent="0.2">
      <c r="B6" s="23" t="s">
        <v>73</v>
      </c>
      <c r="C6" s="19"/>
      <c r="D6" s="19">
        <f>D5+D7</f>
        <v>4.5</v>
      </c>
      <c r="E6" s="47">
        <f>E5+E7</f>
        <v>4.5</v>
      </c>
      <c r="F6" s="47">
        <f>F5+F7</f>
        <v>7.5</v>
      </c>
      <c r="G6" s="47">
        <f>G5+G7</f>
        <v>4.5</v>
      </c>
      <c r="H6" s="47">
        <f>H5+H7</f>
        <v>4.5</v>
      </c>
      <c r="I6" s="47"/>
      <c r="J6" s="47">
        <f>SUM(D6:I6)*40</f>
        <v>1020</v>
      </c>
      <c r="K6" s="47">
        <f>5*10.5*12</f>
        <v>630</v>
      </c>
      <c r="L6" s="48">
        <f>K6+J6</f>
        <v>1650</v>
      </c>
      <c r="M6" s="47"/>
      <c r="N6" s="47"/>
      <c r="O6" s="47"/>
      <c r="P6" s="47"/>
      <c r="Q6" s="47"/>
      <c r="R6" s="47"/>
      <c r="S6" s="47"/>
      <c r="T6" s="24">
        <f>+L6/5</f>
        <v>330</v>
      </c>
      <c r="U6" s="19"/>
      <c r="V6" s="25">
        <f>+T6*$V$2</f>
        <v>0</v>
      </c>
      <c r="W6" s="26">
        <f>+V6/$W$2</f>
        <v>0</v>
      </c>
      <c r="X6" s="25">
        <f>+W6/$X$2</f>
        <v>0</v>
      </c>
      <c r="Y6" s="25">
        <f>+W6*$Y$2</f>
        <v>0</v>
      </c>
      <c r="Z6" s="25">
        <f>+W6*$Z$2</f>
        <v>0</v>
      </c>
      <c r="AA6" s="25">
        <f>+W6*$AA$2</f>
        <v>0</v>
      </c>
      <c r="AB6" s="25">
        <f>+W6*$AB$2</f>
        <v>0</v>
      </c>
      <c r="AC6" s="25">
        <f>+W6*$AC$2</f>
        <v>0</v>
      </c>
      <c r="AE6" s="30">
        <f>+T6/12</f>
        <v>27.5</v>
      </c>
      <c r="AF6" s="10">
        <f t="shared" ref="AF6:AF7" si="0">+AE6*$AF$2</f>
        <v>55</v>
      </c>
      <c r="AG6" s="10">
        <f t="shared" ref="AG6:AG7" si="1">+AE6*$AG$2</f>
        <v>82.5</v>
      </c>
      <c r="AH6" s="10">
        <f t="shared" ref="AH6:AH7" si="2">+AE6*$AH$2</f>
        <v>110</v>
      </c>
      <c r="AI6" s="10">
        <f t="shared" ref="AI6:AI7" si="3">+AE6*$AI$2</f>
        <v>137.5</v>
      </c>
    </row>
    <row r="7" spans="2:35" hidden="1" outlineLevel="1" x14ac:dyDescent="0.2">
      <c r="B7" s="23" t="s">
        <v>74</v>
      </c>
      <c r="C7" s="19"/>
      <c r="D7" s="19">
        <v>3</v>
      </c>
      <c r="E7" s="47">
        <v>3</v>
      </c>
      <c r="F7" s="47">
        <v>6</v>
      </c>
      <c r="G7" s="47">
        <v>3</v>
      </c>
      <c r="H7" s="47">
        <v>3</v>
      </c>
      <c r="I7" s="47"/>
      <c r="J7" s="47">
        <f>SUM(D7:I7)*40</f>
        <v>720</v>
      </c>
      <c r="K7" s="47">
        <f>5*10.5*12</f>
        <v>630</v>
      </c>
      <c r="L7" s="48">
        <f>K7+J7</f>
        <v>1350</v>
      </c>
      <c r="M7" s="47"/>
      <c r="N7" s="47"/>
      <c r="O7" s="47"/>
      <c r="P7" s="47"/>
      <c r="Q7" s="47"/>
      <c r="R7" s="47"/>
      <c r="S7" s="47"/>
      <c r="T7" s="24">
        <f>+L7/5</f>
        <v>270</v>
      </c>
      <c r="U7" s="19"/>
      <c r="V7" s="25">
        <f>+T7*$V$2</f>
        <v>0</v>
      </c>
      <c r="W7" s="25">
        <f>+V7/$W$2</f>
        <v>0</v>
      </c>
      <c r="X7" s="25"/>
      <c r="Y7" s="25">
        <f>+W7*$Y$2</f>
        <v>0</v>
      </c>
      <c r="Z7" s="25">
        <f>+W7*$Z$2</f>
        <v>0</v>
      </c>
      <c r="AA7" s="25">
        <f>+W7*$AA$2</f>
        <v>0</v>
      </c>
      <c r="AB7" s="25">
        <f>+W7*$AB$2</f>
        <v>0</v>
      </c>
      <c r="AC7" s="25">
        <f>+W7*$AC$2</f>
        <v>0</v>
      </c>
      <c r="AE7" s="30">
        <f>+T7/12</f>
        <v>22.5</v>
      </c>
      <c r="AF7" s="10">
        <f t="shared" si="0"/>
        <v>45</v>
      </c>
      <c r="AG7" s="10">
        <f t="shared" si="1"/>
        <v>67.5</v>
      </c>
      <c r="AH7" s="10">
        <f t="shared" si="2"/>
        <v>90</v>
      </c>
      <c r="AI7" s="10">
        <f t="shared" si="3"/>
        <v>112.5</v>
      </c>
    </row>
    <row r="8" spans="2:35" ht="13.5" hidden="1" outlineLevel="1" thickBot="1" x14ac:dyDescent="0.25">
      <c r="B8" s="27"/>
      <c r="C8" s="28"/>
      <c r="D8" s="28"/>
      <c r="E8" s="49"/>
      <c r="F8" s="49"/>
      <c r="G8" s="49"/>
      <c r="H8" s="49"/>
      <c r="I8" s="49"/>
      <c r="J8" s="49"/>
      <c r="K8" s="49" t="s">
        <v>75</v>
      </c>
      <c r="L8" s="50">
        <f>10%*L5+20%*L6+70%*L7</f>
        <v>1368</v>
      </c>
      <c r="M8" s="47"/>
      <c r="N8" s="47"/>
      <c r="O8" s="47"/>
      <c r="P8" s="47"/>
      <c r="Q8" s="47"/>
      <c r="R8" s="47"/>
      <c r="S8" s="47"/>
      <c r="T8" s="19"/>
      <c r="U8" s="19"/>
      <c r="V8" s="19"/>
      <c r="W8" s="25"/>
      <c r="X8" s="25"/>
      <c r="Y8" s="19"/>
      <c r="Z8" s="19"/>
      <c r="AA8" s="19"/>
      <c r="AB8" s="19"/>
      <c r="AC8" s="19"/>
    </row>
    <row r="9" spans="2:35" collapsed="1" x14ac:dyDescent="0.2">
      <c r="B9" s="19"/>
      <c r="C9" s="19"/>
      <c r="D9" s="19"/>
      <c r="E9" s="47"/>
      <c r="F9" s="47"/>
      <c r="G9" s="47"/>
      <c r="H9" s="47"/>
      <c r="I9" s="47"/>
      <c r="J9" s="47"/>
      <c r="K9" s="47"/>
      <c r="L9" s="47"/>
      <c r="M9" s="47"/>
      <c r="N9" s="47"/>
      <c r="O9"/>
      <c r="P9" s="229"/>
      <c r="Q9" s="229"/>
      <c r="R9" s="229"/>
      <c r="S9" s="47"/>
      <c r="T9" s="19"/>
      <c r="U9" s="19"/>
      <c r="V9" s="19"/>
      <c r="W9" s="25"/>
      <c r="X9" s="25"/>
      <c r="Y9" s="19"/>
      <c r="Z9" s="19"/>
      <c r="AA9" s="19"/>
      <c r="AB9" s="19"/>
      <c r="AC9" s="19"/>
    </row>
    <row r="10" spans="2:35" x14ac:dyDescent="0.2">
      <c r="B10" s="19"/>
      <c r="C10" s="19"/>
      <c r="D10" s="19"/>
      <c r="E10" s="47"/>
      <c r="F10" s="47"/>
      <c r="G10" s="47"/>
      <c r="H10" s="47"/>
      <c r="I10" s="47"/>
      <c r="J10" s="152" t="s">
        <v>76</v>
      </c>
      <c r="K10" s="153" t="s">
        <v>77</v>
      </c>
      <c r="L10" s="47"/>
      <c r="M10" s="47"/>
      <c r="N10"/>
      <c r="O10"/>
      <c r="P10"/>
      <c r="Q10" s="230"/>
      <c r="R10" s="230"/>
      <c r="S10" s="47"/>
      <c r="T10" s="19"/>
      <c r="U10" s="19"/>
      <c r="V10" s="19"/>
      <c r="W10" s="25"/>
      <c r="X10" s="25"/>
      <c r="Y10" s="19"/>
      <c r="Z10" s="19"/>
      <c r="AA10" s="19"/>
      <c r="AB10" s="19"/>
      <c r="AC10" s="19"/>
    </row>
    <row r="11" spans="2:35" x14ac:dyDescent="0.2">
      <c r="B11" s="19"/>
      <c r="C11" s="19"/>
      <c r="D11" s="19"/>
      <c r="E11" s="47"/>
      <c r="F11" s="47"/>
      <c r="G11" s="47"/>
      <c r="H11" s="47"/>
      <c r="I11" s="47"/>
      <c r="J11" s="104">
        <v>40</v>
      </c>
      <c r="K11" s="154">
        <f>52-J11</f>
        <v>12</v>
      </c>
      <c r="L11" s="47"/>
      <c r="M11" s="47"/>
      <c r="N11" s="228"/>
      <c r="O11" s="63"/>
      <c r="P11" s="231"/>
      <c r="Q11" s="231"/>
      <c r="R11" s="231"/>
      <c r="S11" s="47"/>
      <c r="T11" s="19"/>
      <c r="U11" s="19"/>
      <c r="V11" s="19"/>
      <c r="W11" s="25"/>
      <c r="X11" s="25"/>
      <c r="Y11" s="19"/>
      <c r="Z11" s="19"/>
      <c r="AA11" s="19"/>
      <c r="AB11" s="19"/>
      <c r="AC11" s="19"/>
    </row>
    <row r="12" spans="2:35" x14ac:dyDescent="0.2">
      <c r="B12" s="19"/>
      <c r="C12" s="19"/>
      <c r="D12" s="19"/>
      <c r="E12" s="47"/>
      <c r="F12" s="47"/>
      <c r="G12" s="47"/>
      <c r="H12" s="47"/>
      <c r="I12" s="47"/>
      <c r="J12" s="47"/>
      <c r="K12" s="47"/>
      <c r="L12" s="47"/>
      <c r="M12" s="47"/>
      <c r="N12" s="228"/>
      <c r="O12" s="63"/>
      <c r="P12" s="47"/>
      <c r="Q12" s="47"/>
      <c r="R12" s="47"/>
      <c r="S12" s="47"/>
      <c r="T12" s="19"/>
      <c r="U12" s="19"/>
      <c r="V12" s="19"/>
      <c r="W12" s="25"/>
      <c r="X12" s="25"/>
      <c r="Y12" s="19"/>
      <c r="Z12" s="19"/>
      <c r="AA12" s="19"/>
      <c r="AB12" s="19"/>
      <c r="AC12" s="19"/>
    </row>
    <row r="13" spans="2:35" hidden="1" outlineLevel="1" x14ac:dyDescent="0.2">
      <c r="B13" s="57" t="s">
        <v>78</v>
      </c>
      <c r="C13" s="18"/>
      <c r="D13" s="18" t="s">
        <v>67</v>
      </c>
      <c r="E13" s="45" t="s">
        <v>68</v>
      </c>
      <c r="F13" s="45" t="s">
        <v>69</v>
      </c>
      <c r="G13" s="45" t="s">
        <v>70</v>
      </c>
      <c r="H13" s="45" t="s">
        <v>71</v>
      </c>
      <c r="I13" s="45"/>
      <c r="J13" s="45"/>
      <c r="K13" s="45"/>
      <c r="L13" s="46"/>
      <c r="M13" s="47"/>
      <c r="N13"/>
      <c r="O13" s="47"/>
      <c r="P13" s="47"/>
      <c r="Q13" s="47"/>
      <c r="R13" s="47"/>
      <c r="S13" s="47"/>
      <c r="T13" s="19"/>
      <c r="U13" s="20"/>
      <c r="V13" s="21"/>
      <c r="W13" s="22"/>
      <c r="X13" s="22"/>
      <c r="Y13" s="19"/>
      <c r="Z13" s="19"/>
      <c r="AA13" s="19"/>
      <c r="AB13" s="19"/>
      <c r="AC13" s="19"/>
    </row>
    <row r="14" spans="2:35" hidden="1" outlineLevel="1" x14ac:dyDescent="0.2">
      <c r="B14" s="23" t="s">
        <v>72</v>
      </c>
      <c r="C14" s="19"/>
      <c r="D14" s="19">
        <v>1.5</v>
      </c>
      <c r="E14" s="47">
        <v>1.5</v>
      </c>
      <c r="F14" s="47">
        <v>1.5</v>
      </c>
      <c r="G14" s="47">
        <v>1.5</v>
      </c>
      <c r="H14" s="47">
        <v>1.5</v>
      </c>
      <c r="I14" s="47"/>
      <c r="J14" s="60">
        <f>(SUM(D14:I14)*J$11)-(D14+G14)</f>
        <v>297</v>
      </c>
      <c r="K14" s="60">
        <f>(5*10.5*K$11)-(5*10.5)</f>
        <v>577.5</v>
      </c>
      <c r="L14" s="61">
        <f>K14+J14</f>
        <v>874.5</v>
      </c>
      <c r="M14" s="122"/>
      <c r="N14"/>
      <c r="O14"/>
      <c r="P14" s="109" t="s">
        <v>79</v>
      </c>
      <c r="Q14" s="51"/>
      <c r="R14" s="144">
        <f>P11*L28+Q11*M28+R11*N28</f>
        <v>0</v>
      </c>
      <c r="S14" s="122"/>
      <c r="T14" s="24">
        <f>+L14/5</f>
        <v>174.9</v>
      </c>
      <c r="U14" s="19"/>
      <c r="V14" s="25">
        <f>+T14*$V$2</f>
        <v>0</v>
      </c>
      <c r="W14" s="25">
        <f>+V14/$W$2</f>
        <v>0</v>
      </c>
      <c r="X14" s="25"/>
      <c r="Y14" s="25">
        <f>+W14*$Y$2</f>
        <v>0</v>
      </c>
      <c r="Z14" s="25">
        <f>+W14*$Z$2</f>
        <v>0</v>
      </c>
      <c r="AA14" s="25">
        <f>+W14*$AA$2</f>
        <v>0</v>
      </c>
      <c r="AB14" s="25">
        <f>+W14*$AB$2</f>
        <v>0</v>
      </c>
      <c r="AC14" s="25">
        <f>+W14*$AC$2</f>
        <v>0</v>
      </c>
      <c r="AE14" s="30">
        <f>+T14/12</f>
        <v>14.575000000000001</v>
      </c>
      <c r="AF14" s="10">
        <f>+AE14*$AF$2</f>
        <v>29.150000000000002</v>
      </c>
      <c r="AG14" s="10">
        <f>+AE14*$AG$2</f>
        <v>43.725000000000001</v>
      </c>
      <c r="AH14" s="10">
        <f>+AE14*$AH$2</f>
        <v>58.300000000000004</v>
      </c>
      <c r="AI14" s="10">
        <f>+AE14*$AI$2</f>
        <v>72.875</v>
      </c>
    </row>
    <row r="15" spans="2:35" hidden="1" outlineLevel="1" x14ac:dyDescent="0.2">
      <c r="B15" s="23" t="s">
        <v>73</v>
      </c>
      <c r="C15" s="19"/>
      <c r="D15" s="19">
        <f>D14+D16</f>
        <v>4.5</v>
      </c>
      <c r="E15" s="47">
        <f>E14+E16</f>
        <v>4.5</v>
      </c>
      <c r="F15" s="47">
        <f>F14+F16</f>
        <v>7.5</v>
      </c>
      <c r="G15" s="47">
        <f>G14+G16</f>
        <v>4.5</v>
      </c>
      <c r="H15" s="47">
        <f>H14+H16</f>
        <v>4.5</v>
      </c>
      <c r="I15" s="47"/>
      <c r="J15" s="60">
        <f>J14+J16</f>
        <v>1011</v>
      </c>
      <c r="K15" s="60">
        <f>K14</f>
        <v>577.5</v>
      </c>
      <c r="L15" s="61">
        <f>K15+J15</f>
        <v>1588.5</v>
      </c>
      <c r="M15" s="122"/>
      <c r="N15"/>
      <c r="O15"/>
      <c r="P15" s="8" t="s">
        <v>80</v>
      </c>
      <c r="Q15" s="9"/>
      <c r="R15" s="145">
        <f>P11*L29+Q11*M29+R11*N29</f>
        <v>0</v>
      </c>
      <c r="S15" s="122"/>
      <c r="T15" s="24">
        <f>+L15/5</f>
        <v>317.7</v>
      </c>
      <c r="U15" s="19"/>
      <c r="V15" s="25">
        <f>+T15*$V$2</f>
        <v>0</v>
      </c>
      <c r="W15" s="26">
        <f>+V15/$W$2</f>
        <v>0</v>
      </c>
      <c r="X15" s="25">
        <f>+W15/$X$2</f>
        <v>0</v>
      </c>
      <c r="Y15" s="25">
        <f>+W15*$Y$2</f>
        <v>0</v>
      </c>
      <c r="Z15" s="25">
        <f>+W15*$Z$2</f>
        <v>0</v>
      </c>
      <c r="AA15" s="25">
        <f>+W15*$AA$2</f>
        <v>0</v>
      </c>
      <c r="AB15" s="25">
        <f>+W15*$AB$2</f>
        <v>0</v>
      </c>
      <c r="AC15" s="25">
        <f>+W15*$AC$2</f>
        <v>0</v>
      </c>
      <c r="AE15" s="30">
        <f>+T15/12</f>
        <v>26.474999999999998</v>
      </c>
      <c r="AF15" s="10">
        <f t="shared" ref="AF15:AF16" si="4">+AE15*$AF$2</f>
        <v>52.949999999999996</v>
      </c>
      <c r="AG15" s="10">
        <f t="shared" ref="AG15:AG16" si="5">+AE15*$AG$2</f>
        <v>79.424999999999997</v>
      </c>
      <c r="AH15" s="10">
        <f t="shared" ref="AH15:AH16" si="6">+AE15*$AH$2</f>
        <v>105.89999999999999</v>
      </c>
      <c r="AI15" s="10">
        <f t="shared" ref="AI15:AI16" si="7">+AE15*$AI$2</f>
        <v>132.375</v>
      </c>
    </row>
    <row r="16" spans="2:35" hidden="1" outlineLevel="1" x14ac:dyDescent="0.2">
      <c r="B16" s="23" t="s">
        <v>74</v>
      </c>
      <c r="C16" s="19"/>
      <c r="D16" s="19">
        <v>3</v>
      </c>
      <c r="E16" s="47">
        <v>3</v>
      </c>
      <c r="F16" s="47">
        <v>6</v>
      </c>
      <c r="G16" s="47">
        <v>3</v>
      </c>
      <c r="H16" s="47">
        <v>3</v>
      </c>
      <c r="I16" s="47"/>
      <c r="J16" s="60">
        <f>(SUM(D16:I16)*J$11)-(D16+G16)</f>
        <v>714</v>
      </c>
      <c r="K16" s="60">
        <f>(5*10.5*K$11)-(5*10.5)</f>
        <v>577.5</v>
      </c>
      <c r="L16" s="61">
        <f>K16+J16</f>
        <v>1291.5</v>
      </c>
      <c r="M16" s="122"/>
      <c r="N16" s="146"/>
      <c r="O16"/>
      <c r="P16"/>
      <c r="Q16"/>
      <c r="R16"/>
      <c r="S16" s="122"/>
      <c r="T16" s="24">
        <f>+L16/5</f>
        <v>258.3</v>
      </c>
      <c r="U16" s="19"/>
      <c r="V16" s="25">
        <f>+T16*$V$2</f>
        <v>0</v>
      </c>
      <c r="W16" s="25">
        <f>+V16/$W$2</f>
        <v>0</v>
      </c>
      <c r="X16" s="25"/>
      <c r="Y16" s="25">
        <f>+W16*$Y$2</f>
        <v>0</v>
      </c>
      <c r="Z16" s="25">
        <f>+W16*$Z$2</f>
        <v>0</v>
      </c>
      <c r="AA16" s="25">
        <f>+W16*$AA$2</f>
        <v>0</v>
      </c>
      <c r="AB16" s="25">
        <f>+W16*$AB$2</f>
        <v>0</v>
      </c>
      <c r="AC16" s="25">
        <f>+W16*$AC$2</f>
        <v>0</v>
      </c>
      <c r="AE16" s="30">
        <f>+T16/12</f>
        <v>21.525000000000002</v>
      </c>
      <c r="AF16" s="10">
        <f t="shared" si="4"/>
        <v>43.050000000000004</v>
      </c>
      <c r="AG16" s="10">
        <f t="shared" si="5"/>
        <v>64.575000000000003</v>
      </c>
      <c r="AH16" s="10">
        <f t="shared" si="6"/>
        <v>86.100000000000009</v>
      </c>
      <c r="AI16" s="10">
        <f t="shared" si="7"/>
        <v>107.62500000000001</v>
      </c>
    </row>
    <row r="17" spans="2:29" ht="13.5" hidden="1" outlineLevel="1" thickBot="1" x14ac:dyDescent="0.25">
      <c r="B17" s="27"/>
      <c r="C17" s="28"/>
      <c r="D17" s="28"/>
      <c r="E17" s="49"/>
      <c r="F17" s="49"/>
      <c r="G17" s="49"/>
      <c r="H17" s="49"/>
      <c r="I17" s="49"/>
      <c r="J17" s="49"/>
      <c r="K17" s="49" t="s">
        <v>75</v>
      </c>
      <c r="L17" s="62">
        <f>10%*L14+20%*L15+70%*L16</f>
        <v>1309.2</v>
      </c>
      <c r="M17" s="123"/>
      <c r="N17"/>
      <c r="O17"/>
      <c r="P17" s="35" t="s">
        <v>81</v>
      </c>
      <c r="Q17" s="2"/>
      <c r="R17" s="147">
        <v>3253322.2931876699</v>
      </c>
      <c r="S17" s="123"/>
      <c r="T17" s="19"/>
      <c r="U17" s="19"/>
      <c r="V17" s="19"/>
      <c r="W17" s="25"/>
      <c r="X17" s="25"/>
      <c r="Y17" s="19"/>
      <c r="Z17" s="19"/>
      <c r="AA17" s="19"/>
      <c r="AB17" s="19"/>
      <c r="AC17" s="19"/>
    </row>
    <row r="18" spans="2:29" hidden="1" outlineLevel="1" x14ac:dyDescent="0.2">
      <c r="B18" s="19"/>
      <c r="C18" s="19"/>
      <c r="D18" s="19"/>
      <c r="E18" s="47"/>
      <c r="F18" s="47"/>
      <c r="G18" s="47"/>
      <c r="H18" s="47"/>
      <c r="I18" s="47"/>
      <c r="J18" s="47"/>
      <c r="K18" s="47"/>
      <c r="L18" s="63">
        <f>(L17-L$8)/L$8</f>
        <v>-4.2982456140350844E-2</v>
      </c>
      <c r="M18" s="63"/>
      <c r="N18"/>
      <c r="O18"/>
      <c r="P18" s="4" t="s">
        <v>82</v>
      </c>
      <c r="Q18" s="47"/>
      <c r="R18" s="148">
        <f>R15*R17</f>
        <v>0</v>
      </c>
      <c r="S18" s="63"/>
      <c r="T18" s="19"/>
      <c r="U18" s="19"/>
      <c r="V18" s="19"/>
      <c r="W18" s="25"/>
      <c r="X18" s="25"/>
      <c r="Y18" s="19"/>
      <c r="Z18" s="19"/>
      <c r="AA18" s="19"/>
      <c r="AB18" s="19"/>
      <c r="AC18" s="19"/>
    </row>
    <row r="19" spans="2:29" hidden="1" outlineLevel="1" x14ac:dyDescent="0.2">
      <c r="B19" s="19" t="s">
        <v>83</v>
      </c>
      <c r="C19" s="19"/>
      <c r="D19" s="19"/>
      <c r="E19" s="47"/>
      <c r="F19" s="47"/>
      <c r="G19" s="47"/>
      <c r="H19" s="47"/>
      <c r="I19" s="47"/>
      <c r="J19" s="47"/>
      <c r="K19" s="47"/>
      <c r="L19" s="63"/>
      <c r="M19" s="63"/>
      <c r="N19" s="19"/>
      <c r="O19" s="19"/>
      <c r="P19" s="4" t="s">
        <v>84</v>
      </c>
      <c r="Q19"/>
      <c r="R19" s="148">
        <f>R17+R18</f>
        <v>3253322.2931876699</v>
      </c>
      <c r="S19" s="63"/>
      <c r="T19" s="19"/>
      <c r="U19" s="19"/>
      <c r="V19" s="19"/>
      <c r="W19" s="25"/>
      <c r="X19" s="25"/>
      <c r="Y19" s="19"/>
      <c r="Z19" s="19"/>
      <c r="AA19" s="19"/>
      <c r="AB19" s="19"/>
      <c r="AC19" s="19"/>
    </row>
    <row r="20" spans="2:29" hidden="1" outlineLevel="1" x14ac:dyDescent="0.2">
      <c r="B20" s="19" t="s">
        <v>85</v>
      </c>
      <c r="C20" s="19"/>
      <c r="D20" s="19"/>
      <c r="E20" s="47"/>
      <c r="F20" s="47"/>
      <c r="G20" s="47"/>
      <c r="H20" s="47"/>
      <c r="I20" s="47"/>
      <c r="J20" s="47"/>
      <c r="K20" s="47"/>
      <c r="L20" s="63"/>
      <c r="M20" s="63"/>
      <c r="N20" s="19"/>
      <c r="O20" s="19"/>
      <c r="P20" s="4" t="s">
        <v>86</v>
      </c>
      <c r="Q20" s="19"/>
      <c r="R20" s="148">
        <v>2488373.6805108399</v>
      </c>
      <c r="S20" s="63"/>
      <c r="T20" s="19"/>
      <c r="U20" s="19"/>
      <c r="V20" s="19"/>
      <c r="W20" s="25"/>
      <c r="X20" s="25"/>
      <c r="Y20" s="19"/>
      <c r="Z20" s="19"/>
      <c r="AA20" s="19"/>
      <c r="AB20" s="19"/>
      <c r="AC20" s="19"/>
    </row>
    <row r="21" spans="2:29" ht="13.5" hidden="1" outlineLevel="1" thickBot="1" x14ac:dyDescent="0.25">
      <c r="B21" s="19"/>
      <c r="C21" s="19"/>
      <c r="D21" s="19"/>
      <c r="E21" s="47"/>
      <c r="F21" s="47"/>
      <c r="G21" s="47"/>
      <c r="H21" s="47"/>
      <c r="I21" s="47"/>
      <c r="J21" s="47"/>
      <c r="K21" s="47"/>
      <c r="L21" s="63"/>
      <c r="M21" s="63"/>
      <c r="N21" s="19"/>
      <c r="O21" s="19"/>
      <c r="P21" s="149" t="s">
        <v>87</v>
      </c>
      <c r="Q21" s="47"/>
      <c r="R21" s="148">
        <f>R19-R20</f>
        <v>764948.61267683003</v>
      </c>
      <c r="S21" s="63"/>
      <c r="T21" s="19"/>
      <c r="U21" s="19"/>
      <c r="V21" s="19"/>
      <c r="W21" s="25"/>
      <c r="X21" s="25"/>
      <c r="Y21" s="19"/>
      <c r="Z21" s="19"/>
      <c r="AA21" s="19"/>
      <c r="AB21" s="19"/>
      <c r="AC21" s="19"/>
    </row>
    <row r="22" spans="2:29" hidden="1" outlineLevel="1" x14ac:dyDescent="0.2">
      <c r="B22" s="57" t="s">
        <v>78</v>
      </c>
      <c r="C22" s="18"/>
      <c r="D22" s="18" t="s">
        <v>67</v>
      </c>
      <c r="E22" s="45" t="s">
        <v>68</v>
      </c>
      <c r="F22" s="45" t="s">
        <v>69</v>
      </c>
      <c r="G22" s="45" t="s">
        <v>70</v>
      </c>
      <c r="H22" s="45" t="s">
        <v>71</v>
      </c>
      <c r="I22" s="45"/>
      <c r="J22" s="45"/>
      <c r="K22" s="45"/>
      <c r="L22" s="137" t="s">
        <v>88</v>
      </c>
      <c r="M22" s="137" t="s">
        <v>89</v>
      </c>
      <c r="N22" s="138" t="s">
        <v>90</v>
      </c>
      <c r="O22" s="19"/>
      <c r="P22" s="150" t="s">
        <v>91</v>
      </c>
      <c r="Q22" s="55"/>
      <c r="R22" s="151">
        <f>R21/R19</f>
        <v>0.23512844524460505</v>
      </c>
      <c r="S22" s="63"/>
      <c r="T22" s="19"/>
      <c r="U22" s="19"/>
      <c r="V22" s="19"/>
      <c r="W22" s="25"/>
      <c r="X22" s="25"/>
      <c r="Y22" s="19"/>
      <c r="Z22" s="19"/>
      <c r="AA22" s="19"/>
      <c r="AB22" s="19"/>
      <c r="AC22" s="19"/>
    </row>
    <row r="23" spans="2:29" hidden="1" outlineLevel="1" x14ac:dyDescent="0.2">
      <c r="B23" s="23" t="s">
        <v>72</v>
      </c>
      <c r="C23" s="19"/>
      <c r="D23" s="19">
        <v>1</v>
      </c>
      <c r="E23" s="47">
        <v>1</v>
      </c>
      <c r="F23" s="47">
        <v>1</v>
      </c>
      <c r="G23" s="47">
        <v>1</v>
      </c>
      <c r="H23" s="47">
        <v>1</v>
      </c>
      <c r="I23" s="47"/>
      <c r="J23" s="60">
        <f>(SUM(D23:I23)*J$11)</f>
        <v>200</v>
      </c>
      <c r="K23" s="60">
        <f>(5*10*K$11)</f>
        <v>600</v>
      </c>
      <c r="L23" s="122">
        <f>K23+J23</f>
        <v>800</v>
      </c>
      <c r="M23" s="122">
        <f>J23+8*10*5</f>
        <v>600</v>
      </c>
      <c r="N23" s="61">
        <f>J23</f>
        <v>200</v>
      </c>
      <c r="O23" s="63"/>
      <c r="P23" s="63"/>
      <c r="Q23" s="63"/>
      <c r="R23" s="63"/>
      <c r="S23" s="63"/>
      <c r="T23" s="19"/>
      <c r="U23" s="19"/>
      <c r="V23" s="19"/>
      <c r="W23" s="25"/>
      <c r="X23" s="25"/>
      <c r="Y23" s="19"/>
      <c r="Z23" s="19"/>
      <c r="AA23" s="19"/>
      <c r="AB23" s="19"/>
      <c r="AC23" s="19"/>
    </row>
    <row r="24" spans="2:29" hidden="1" outlineLevel="1" x14ac:dyDescent="0.2">
      <c r="B24" s="23" t="s">
        <v>73</v>
      </c>
      <c r="C24" s="19"/>
      <c r="D24" s="19">
        <f>D23+D25</f>
        <v>4.75</v>
      </c>
      <c r="E24" s="47">
        <f>E23+E25</f>
        <v>4.75</v>
      </c>
      <c r="F24" s="47">
        <f>F23+F25</f>
        <v>4.75</v>
      </c>
      <c r="G24" s="47">
        <f>G23+G25</f>
        <v>4.75</v>
      </c>
      <c r="H24" s="47">
        <f>H23+H25</f>
        <v>4.75</v>
      </c>
      <c r="I24" s="47"/>
      <c r="J24" s="60">
        <f>J23+(J25*O11)+(J26*O12)</f>
        <v>200</v>
      </c>
      <c r="K24" s="60">
        <f>K23</f>
        <v>600</v>
      </c>
      <c r="L24" s="122">
        <f>K24+J24</f>
        <v>800</v>
      </c>
      <c r="M24" s="122">
        <f>J24+8*10*5</f>
        <v>600</v>
      </c>
      <c r="N24" s="61">
        <f>J24</f>
        <v>200</v>
      </c>
      <c r="O24" s="63"/>
      <c r="P24" s="63"/>
      <c r="Q24" s="172" t="s">
        <v>92</v>
      </c>
      <c r="R24" s="173" t="s">
        <v>93</v>
      </c>
      <c r="S24" s="63"/>
      <c r="T24" s="19"/>
      <c r="U24" s="19"/>
      <c r="V24" s="19"/>
      <c r="W24" s="25"/>
      <c r="X24" s="25"/>
      <c r="Y24" s="19"/>
      <c r="Z24" s="19"/>
      <c r="AA24" s="19"/>
      <c r="AB24" s="19"/>
      <c r="AC24" s="19"/>
    </row>
    <row r="25" spans="2:29" hidden="1" outlineLevel="1" x14ac:dyDescent="0.2">
      <c r="B25" s="23" t="s">
        <v>74</v>
      </c>
      <c r="C25" s="19"/>
      <c r="D25" s="19">
        <v>3.75</v>
      </c>
      <c r="E25" s="19">
        <v>3.75</v>
      </c>
      <c r="F25" s="19">
        <v>3.75</v>
      </c>
      <c r="G25" s="19">
        <v>3.75</v>
      </c>
      <c r="H25" s="19">
        <v>3.75</v>
      </c>
      <c r="I25" s="47"/>
      <c r="J25" s="60">
        <f>(SUM(D25:I25)*J$11)</f>
        <v>750</v>
      </c>
      <c r="K25" s="60">
        <f>(5*10*K$11)</f>
        <v>600</v>
      </c>
      <c r="L25" s="122">
        <f>K25+J25</f>
        <v>1350</v>
      </c>
      <c r="M25" s="122">
        <f>J25+8*10*5</f>
        <v>1150</v>
      </c>
      <c r="N25" s="61">
        <f>J25</f>
        <v>750</v>
      </c>
      <c r="O25" s="63"/>
      <c r="P25" s="63"/>
      <c r="Q25" s="171">
        <v>0.7</v>
      </c>
      <c r="R25" s="174">
        <f>100%-Q25</f>
        <v>0.30000000000000004</v>
      </c>
      <c r="S25" s="63"/>
      <c r="T25" s="19"/>
      <c r="U25" s="19"/>
      <c r="V25" s="19"/>
      <c r="W25" s="25"/>
      <c r="X25" s="25"/>
      <c r="Y25" s="19"/>
      <c r="Z25" s="19"/>
      <c r="AA25" s="19"/>
      <c r="AB25" s="19"/>
      <c r="AC25" s="19"/>
    </row>
    <row r="26" spans="2:29" hidden="1" outlineLevel="1" x14ac:dyDescent="0.2">
      <c r="B26" s="23" t="s">
        <v>94</v>
      </c>
      <c r="C26" s="19"/>
      <c r="D26" s="19">
        <v>4.25</v>
      </c>
      <c r="E26" s="19">
        <v>4.25</v>
      </c>
      <c r="F26" s="19">
        <v>4.25</v>
      </c>
      <c r="G26" s="19">
        <v>4.25</v>
      </c>
      <c r="H26" s="19">
        <v>4.25</v>
      </c>
      <c r="I26" s="47"/>
      <c r="J26" s="60">
        <f>(SUM(D26:I26)*J$11)</f>
        <v>850</v>
      </c>
      <c r="K26" s="60">
        <f>(5*10.5*K$11)</f>
        <v>630</v>
      </c>
      <c r="L26" s="122">
        <f>K26+J26</f>
        <v>1480</v>
      </c>
      <c r="M26" s="122">
        <f>J26+8*10.5*5</f>
        <v>1270</v>
      </c>
      <c r="N26" s="61">
        <f>J26</f>
        <v>850</v>
      </c>
      <c r="O26" s="63"/>
      <c r="P26" s="63"/>
      <c r="Q26" s="63"/>
      <c r="R26" s="63"/>
      <c r="S26" s="63"/>
      <c r="T26" s="19"/>
      <c r="U26" s="19"/>
      <c r="V26" s="19"/>
      <c r="W26" s="25"/>
      <c r="X26" s="25"/>
      <c r="Y26" s="19"/>
      <c r="Z26" s="19"/>
      <c r="AA26" s="19"/>
      <c r="AB26" s="19"/>
      <c r="AC26" s="19"/>
    </row>
    <row r="27" spans="2:29" ht="13.5" hidden="1" outlineLevel="1" thickBot="1" x14ac:dyDescent="0.25">
      <c r="B27" s="23"/>
      <c r="C27" s="19"/>
      <c r="D27" s="19"/>
      <c r="E27" s="47"/>
      <c r="F27" s="47"/>
      <c r="G27" s="47"/>
      <c r="H27" s="47"/>
      <c r="I27" s="47"/>
      <c r="J27" s="47"/>
      <c r="K27" s="123" t="s">
        <v>75</v>
      </c>
      <c r="L27" s="139">
        <f>(10%*L23)+(20%*L24)+(70%*(L25*O11+L26*O12))</f>
        <v>240</v>
      </c>
      <c r="M27" s="139">
        <f>(10%*M23)+(20%*M24)+(70%*(M25*O11+M26*O12))</f>
        <v>180</v>
      </c>
      <c r="N27" s="140">
        <f>(10%*N23)+(20%*N24)+(70%*(N25*O11+N26*O12))</f>
        <v>60</v>
      </c>
      <c r="O27" s="63"/>
      <c r="P27" s="63"/>
      <c r="Q27" s="63"/>
      <c r="R27" s="63"/>
      <c r="S27" s="63"/>
      <c r="T27" s="19"/>
      <c r="U27" s="19"/>
      <c r="V27" s="19"/>
      <c r="W27" s="25"/>
      <c r="X27" s="25"/>
      <c r="Y27" s="19"/>
      <c r="Z27" s="19"/>
      <c r="AA27" s="19"/>
      <c r="AB27" s="19"/>
      <c r="AC27" s="19"/>
    </row>
    <row r="28" spans="2:29" ht="13.5" hidden="1" outlineLevel="1" thickTop="1" x14ac:dyDescent="0.2">
      <c r="B28" s="23"/>
      <c r="C28" s="19"/>
      <c r="D28" s="19"/>
      <c r="E28" s="47"/>
      <c r="F28" s="47"/>
      <c r="G28" s="47"/>
      <c r="H28" s="47"/>
      <c r="I28" s="47"/>
      <c r="J28" s="47"/>
      <c r="K28" s="123" t="s">
        <v>95</v>
      </c>
      <c r="L28" s="63">
        <f>(L27-L$8)/L$8</f>
        <v>-0.82456140350877194</v>
      </c>
      <c r="M28" s="63">
        <f>(M27-L$8)/L$8</f>
        <v>-0.86842105263157898</v>
      </c>
      <c r="N28" s="141">
        <f>(N27-L$8)/L$8</f>
        <v>-0.95614035087719296</v>
      </c>
      <c r="O28" s="63"/>
      <c r="P28" s="63"/>
      <c r="Q28" s="63"/>
      <c r="R28" s="63"/>
      <c r="S28" s="63"/>
      <c r="T28" s="19"/>
      <c r="U28" s="19"/>
      <c r="V28" s="19"/>
      <c r="W28" s="25"/>
      <c r="X28" s="25"/>
      <c r="Y28" s="19"/>
      <c r="Z28" s="19"/>
      <c r="AA28" s="19"/>
      <c r="AB28" s="19"/>
      <c r="AC28" s="19"/>
    </row>
    <row r="29" spans="2:29" ht="13.5" hidden="1" outlineLevel="1" thickBot="1" x14ac:dyDescent="0.25">
      <c r="B29" s="27"/>
      <c r="C29" s="28"/>
      <c r="D29" s="28"/>
      <c r="E29" s="49"/>
      <c r="F29" s="49"/>
      <c r="G29" s="49"/>
      <c r="H29" s="49"/>
      <c r="I29" s="49"/>
      <c r="J29" s="49"/>
      <c r="K29" s="142" t="s">
        <v>96</v>
      </c>
      <c r="L29" s="142">
        <f>L28</f>
        <v>-0.82456140350877194</v>
      </c>
      <c r="M29" s="142">
        <f>((M27*(1+Q$10))-$L$8)/$L$8</f>
        <v>-0.86842105263157898</v>
      </c>
      <c r="N29" s="142">
        <f>((N27*(1+R$10))-$L$8)/$L$8</f>
        <v>-0.95614035087719296</v>
      </c>
      <c r="O29" s="63"/>
      <c r="P29" s="63"/>
      <c r="Q29" s="63"/>
      <c r="R29" s="63"/>
      <c r="S29" s="63"/>
      <c r="T29" s="19"/>
      <c r="U29" s="19"/>
      <c r="V29" s="19"/>
      <c r="W29" s="25"/>
      <c r="X29" s="25"/>
      <c r="Y29" s="19"/>
      <c r="Z29" s="19"/>
      <c r="AA29" s="19"/>
      <c r="AB29" s="19"/>
      <c r="AC29" s="19"/>
    </row>
    <row r="30" spans="2:29" hidden="1" outlineLevel="1" x14ac:dyDescent="0.2">
      <c r="B30" s="19"/>
      <c r="C30" s="19"/>
      <c r="D30" s="19"/>
      <c r="E30" s="47"/>
      <c r="F30" s="47"/>
      <c r="G30" s="47"/>
      <c r="H30" s="47"/>
      <c r="I30" s="47"/>
      <c r="J30" s="47"/>
      <c r="K30" s="47"/>
      <c r="L30" s="63"/>
      <c r="M30" s="63"/>
      <c r="N30" s="63"/>
      <c r="O30" s="63"/>
      <c r="P30" s="63"/>
      <c r="Q30" s="63"/>
      <c r="R30" s="63"/>
      <c r="S30" s="63"/>
      <c r="T30" s="19"/>
      <c r="U30" s="19"/>
      <c r="V30" s="19"/>
      <c r="W30" s="25"/>
      <c r="X30" s="25"/>
      <c r="Y30" s="19"/>
      <c r="Z30" s="19"/>
      <c r="AA30" s="19"/>
      <c r="AB30" s="19"/>
      <c r="AC30" s="19"/>
    </row>
    <row r="31" spans="2:29" hidden="1" outlineLevel="1" x14ac:dyDescent="0.2">
      <c r="B31" s="19"/>
      <c r="C31" s="19"/>
      <c r="D31" s="19"/>
      <c r="E31" s="47"/>
      <c r="F31" s="47"/>
      <c r="G31" s="47"/>
      <c r="H31" s="47"/>
      <c r="I31" s="47"/>
      <c r="J31" s="47"/>
      <c r="K31" s="47"/>
      <c r="L31" s="63"/>
      <c r="M31" s="63"/>
      <c r="N31" s="63"/>
      <c r="O31" s="63"/>
      <c r="P31" s="63"/>
      <c r="Q31" s="63"/>
      <c r="R31" s="63"/>
      <c r="S31" s="63"/>
      <c r="T31" s="19"/>
      <c r="U31" s="19"/>
      <c r="V31" s="19"/>
      <c r="W31" s="25"/>
      <c r="X31" s="25"/>
      <c r="Y31" s="19"/>
      <c r="Z31" s="19"/>
      <c r="AA31" s="19"/>
      <c r="AB31" s="19"/>
      <c r="AC31" s="19"/>
    </row>
    <row r="32" spans="2:29" hidden="1" outlineLevel="1" x14ac:dyDescent="0.2">
      <c r="B32" s="19"/>
      <c r="C32" s="19"/>
      <c r="D32" s="19"/>
      <c r="E32" s="47"/>
      <c r="F32" s="47"/>
      <c r="G32" s="47"/>
      <c r="H32" s="47"/>
      <c r="I32" s="47"/>
      <c r="J32" s="47"/>
      <c r="K32" s="47"/>
      <c r="L32" s="63"/>
      <c r="M32" s="63"/>
      <c r="N32" s="63"/>
      <c r="O32" s="63"/>
      <c r="P32" s="63"/>
      <c r="Q32" s="63"/>
      <c r="R32" s="63"/>
      <c r="S32" s="63"/>
      <c r="T32" s="19"/>
      <c r="U32" s="19"/>
      <c r="V32" s="19"/>
      <c r="W32" s="25"/>
      <c r="X32" s="25"/>
      <c r="Y32" s="19"/>
      <c r="Z32" s="19"/>
      <c r="AA32" s="19"/>
      <c r="AB32" s="19"/>
      <c r="AC32" s="19"/>
    </row>
    <row r="33" spans="2:35" hidden="1" outlineLevel="1" x14ac:dyDescent="0.2">
      <c r="B33" s="19"/>
      <c r="C33" s="19"/>
      <c r="D33" s="19"/>
      <c r="E33" s="47"/>
      <c r="F33" s="47"/>
      <c r="G33" s="47"/>
      <c r="H33" s="47"/>
      <c r="I33" s="47"/>
      <c r="J33" s="47"/>
      <c r="K33" s="47"/>
      <c r="L33" s="63"/>
      <c r="M33" s="63"/>
      <c r="N33" s="63" t="s">
        <v>97</v>
      </c>
      <c r="O33" s="63"/>
      <c r="P33" s="63"/>
      <c r="Q33" s="63" t="s">
        <v>98</v>
      </c>
      <c r="R33" s="63"/>
      <c r="S33" s="63"/>
      <c r="T33" s="19"/>
      <c r="U33" s="19"/>
      <c r="V33" s="19"/>
      <c r="W33" s="25"/>
      <c r="X33" s="25"/>
      <c r="Y33" s="19"/>
      <c r="Z33" s="19"/>
      <c r="AA33" s="19"/>
      <c r="AB33" s="19"/>
      <c r="AC33" s="19"/>
    </row>
    <row r="34" spans="2:35" hidden="1" outlineLevel="1" x14ac:dyDescent="0.2">
      <c r="B34" s="19" t="s">
        <v>99</v>
      </c>
      <c r="C34" s="19"/>
      <c r="D34" s="19"/>
      <c r="E34" s="47"/>
      <c r="F34" s="47"/>
      <c r="G34" s="47"/>
      <c r="H34" s="47"/>
      <c r="I34" s="47"/>
      <c r="J34" s="47"/>
      <c r="K34" s="47"/>
      <c r="L34" s="59"/>
      <c r="M34" s="59"/>
      <c r="N34" s="97">
        <v>52</v>
      </c>
      <c r="O34" s="97">
        <v>46</v>
      </c>
      <c r="P34" s="19">
        <v>40</v>
      </c>
      <c r="Q34" s="98">
        <v>0.05</v>
      </c>
      <c r="R34" s="98">
        <f>R10</f>
        <v>0</v>
      </c>
      <c r="S34" s="98"/>
      <c r="U34" s="19"/>
      <c r="V34" s="19"/>
      <c r="W34" s="25"/>
      <c r="X34" s="25"/>
      <c r="Y34" s="19"/>
      <c r="Z34" s="19"/>
      <c r="AA34" s="19"/>
      <c r="AB34" s="19"/>
      <c r="AC34" s="19"/>
    </row>
    <row r="35" spans="2:35" hidden="1" outlineLevel="1" x14ac:dyDescent="0.2">
      <c r="B35" s="19" t="s">
        <v>100</v>
      </c>
      <c r="C35" s="19"/>
      <c r="D35" s="19"/>
      <c r="E35" s="47"/>
      <c r="F35" s="113">
        <f>J11</f>
        <v>40</v>
      </c>
      <c r="G35" s="47" t="s">
        <v>101</v>
      </c>
      <c r="H35" s="119" t="e">
        <f>#REF!</f>
        <v>#REF!</v>
      </c>
      <c r="I35" s="47"/>
      <c r="J35" s="47"/>
      <c r="K35" s="47"/>
      <c r="L35" s="59" t="s">
        <v>72</v>
      </c>
      <c r="M35" s="59"/>
      <c r="N35" s="59">
        <v>0.8</v>
      </c>
      <c r="O35" s="59">
        <f>100%-N35</f>
        <v>0.19999999999999996</v>
      </c>
      <c r="P35" s="59">
        <f>100%-N35</f>
        <v>0.19999999999999996</v>
      </c>
      <c r="Q35" s="59">
        <f t="shared" ref="Q35:R37" si="8">1+Q$34</f>
        <v>1.05</v>
      </c>
      <c r="R35" s="59">
        <f t="shared" si="8"/>
        <v>1</v>
      </c>
      <c r="S35" s="59"/>
      <c r="T35" s="19"/>
      <c r="U35" s="19"/>
      <c r="V35" s="19"/>
      <c r="W35" s="25"/>
      <c r="X35" s="25"/>
      <c r="Y35" s="19"/>
      <c r="Z35" s="19"/>
      <c r="AA35" s="19"/>
      <c r="AB35" s="19"/>
      <c r="AC35" s="19"/>
    </row>
    <row r="36" spans="2:35" hidden="1" outlineLevel="1" x14ac:dyDescent="0.2">
      <c r="B36" s="19" t="s">
        <v>102</v>
      </c>
      <c r="E36"/>
      <c r="F36"/>
      <c r="G36"/>
      <c r="H36"/>
      <c r="I36" s="47"/>
      <c r="J36" s="47"/>
      <c r="K36" s="47"/>
      <c r="L36" s="59" t="s">
        <v>73</v>
      </c>
      <c r="M36" s="59"/>
      <c r="N36" s="59">
        <v>0.8</v>
      </c>
      <c r="O36" s="59">
        <f>100%-N36</f>
        <v>0.19999999999999996</v>
      </c>
      <c r="P36" s="59">
        <f>100%-N36</f>
        <v>0.19999999999999996</v>
      </c>
      <c r="Q36" s="59">
        <f t="shared" si="8"/>
        <v>1.05</v>
      </c>
      <c r="R36" s="59">
        <f t="shared" si="8"/>
        <v>1</v>
      </c>
      <c r="S36" s="59"/>
      <c r="U36" s="19"/>
      <c r="V36" s="19"/>
      <c r="W36" s="25"/>
      <c r="X36" s="25"/>
      <c r="Y36" s="19"/>
      <c r="Z36" s="19"/>
      <c r="AA36" s="19"/>
      <c r="AB36" s="19"/>
      <c r="AC36" s="19"/>
    </row>
    <row r="37" spans="2:35" hidden="1" outlineLevel="1" x14ac:dyDescent="0.2">
      <c r="B37" s="19"/>
      <c r="C37" s="19"/>
      <c r="D37" s="19"/>
      <c r="E37" s="47"/>
      <c r="F37" s="47"/>
      <c r="G37" s="47"/>
      <c r="H37" s="47"/>
      <c r="I37" s="47"/>
      <c r="J37" s="47"/>
      <c r="K37" s="47"/>
      <c r="L37" s="59" t="s">
        <v>74</v>
      </c>
      <c r="M37" s="59"/>
      <c r="N37" s="59">
        <v>0.8</v>
      </c>
      <c r="O37" s="59">
        <f>100%-N37</f>
        <v>0.19999999999999996</v>
      </c>
      <c r="P37" s="59">
        <f>100%-N37</f>
        <v>0.19999999999999996</v>
      </c>
      <c r="Q37" s="59">
        <f t="shared" si="8"/>
        <v>1.05</v>
      </c>
      <c r="R37" s="59">
        <f t="shared" si="8"/>
        <v>1</v>
      </c>
      <c r="S37" s="59"/>
      <c r="U37" s="19"/>
      <c r="V37" s="19"/>
      <c r="W37" s="25"/>
      <c r="X37" s="25"/>
      <c r="Y37" s="19"/>
      <c r="Z37" s="19"/>
      <c r="AA37" s="19"/>
      <c r="AB37" s="19"/>
      <c r="AC37" s="19"/>
    </row>
    <row r="38" spans="2:35" ht="13.5" hidden="1" outlineLevel="1" thickBot="1" x14ac:dyDescent="0.25">
      <c r="T38" t="s">
        <v>103</v>
      </c>
    </row>
    <row r="39" spans="2:35" hidden="1" outlineLevel="1" x14ac:dyDescent="0.2">
      <c r="B39" s="1"/>
      <c r="C39" s="11"/>
      <c r="D39" s="11"/>
      <c r="E39" s="51"/>
      <c r="F39" s="51"/>
      <c r="G39" s="51"/>
      <c r="H39" s="51"/>
      <c r="I39" s="51"/>
      <c r="J39" s="155"/>
      <c r="K39" s="156"/>
      <c r="L39" s="156"/>
      <c r="M39" s="156"/>
      <c r="N39" s="157"/>
      <c r="O39" s="51"/>
      <c r="P39" s="51"/>
      <c r="Q39" s="51"/>
      <c r="R39" s="111"/>
      <c r="Y39" s="35"/>
      <c r="Z39" s="2"/>
      <c r="AA39" s="2"/>
      <c r="AB39" s="2"/>
      <c r="AC39" s="2"/>
      <c r="AD39" s="2"/>
      <c r="AE39" s="2"/>
      <c r="AF39" s="2"/>
      <c r="AG39" s="2"/>
      <c r="AH39" s="2"/>
      <c r="AI39" s="3"/>
    </row>
    <row r="40" spans="2:35" hidden="1" outlineLevel="1" x14ac:dyDescent="0.2">
      <c r="B40" s="4"/>
      <c r="J40" s="158"/>
      <c r="K40" s="56"/>
      <c r="L40" s="56"/>
      <c r="M40" s="56"/>
      <c r="N40" s="159"/>
      <c r="O40" s="56"/>
      <c r="P40" s="56"/>
      <c r="Q40" s="56"/>
      <c r="R40" s="106"/>
      <c r="S40" s="56"/>
      <c r="Y40" s="4"/>
      <c r="AI40" s="5"/>
    </row>
    <row r="41" spans="2:35" hidden="1" outlineLevel="1" x14ac:dyDescent="0.2">
      <c r="B41" s="4"/>
      <c r="D41" s="6"/>
      <c r="E41" s="52"/>
      <c r="F41" s="52"/>
      <c r="G41" s="52"/>
      <c r="H41" s="52"/>
      <c r="J41" s="160"/>
      <c r="K41" s="121"/>
      <c r="L41" s="136"/>
      <c r="M41" s="136"/>
      <c r="N41" s="161"/>
      <c r="O41" s="121"/>
      <c r="P41" s="121"/>
      <c r="Q41" s="121"/>
      <c r="R41" s="101"/>
      <c r="S41" s="121"/>
      <c r="Y41" s="4"/>
      <c r="AI41" s="5"/>
    </row>
    <row r="42" spans="2:35" hidden="1" outlineLevel="1" x14ac:dyDescent="0.2">
      <c r="B42" s="4"/>
      <c r="D42" s="6"/>
      <c r="E42" s="52"/>
      <c r="F42" s="52"/>
      <c r="G42" s="52"/>
      <c r="H42" s="52"/>
      <c r="J42" s="162"/>
      <c r="N42" s="163"/>
      <c r="O42" s="56"/>
      <c r="P42" s="56"/>
      <c r="Q42" s="56"/>
      <c r="R42" s="100"/>
      <c r="Y42" s="4"/>
      <c r="AI42" s="5"/>
    </row>
    <row r="43" spans="2:35" hidden="1" outlineLevel="1" x14ac:dyDescent="0.2">
      <c r="B43" s="4"/>
      <c r="J43" s="162"/>
      <c r="N43" s="163"/>
      <c r="O43" s="56"/>
      <c r="P43" s="133"/>
      <c r="Q43" s="56"/>
      <c r="R43" s="135"/>
      <c r="Y43" s="4"/>
      <c r="AI43" s="5"/>
    </row>
    <row r="44" spans="2:35" hidden="1" outlineLevel="1" x14ac:dyDescent="0.2">
      <c r="B44" s="4"/>
      <c r="J44" s="164"/>
      <c r="K44" s="60"/>
      <c r="L44" s="122"/>
      <c r="M44" s="122"/>
      <c r="N44" s="61"/>
      <c r="O44" s="122"/>
      <c r="P44" s="122"/>
      <c r="Q44" s="122"/>
      <c r="R44" s="110"/>
      <c r="T44" s="10"/>
      <c r="V44" s="13"/>
      <c r="Y44" s="36"/>
      <c r="Z44" s="13"/>
      <c r="AA44" s="13"/>
      <c r="AB44" s="13"/>
      <c r="AC44" s="13"/>
      <c r="AE44" s="30"/>
      <c r="AF44" s="10"/>
      <c r="AG44" s="10"/>
      <c r="AH44" s="10"/>
      <c r="AI44" s="37"/>
    </row>
    <row r="45" spans="2:35" hidden="1" outlineLevel="1" x14ac:dyDescent="0.2">
      <c r="B45" s="4"/>
      <c r="J45" s="164"/>
      <c r="K45" s="60"/>
      <c r="L45" s="122"/>
      <c r="M45" s="122"/>
      <c r="N45" s="61"/>
      <c r="O45" s="122"/>
      <c r="P45" s="122"/>
      <c r="Q45" s="122"/>
      <c r="R45" s="110"/>
      <c r="S45" s="122"/>
      <c r="T45" s="10"/>
      <c r="V45" s="13"/>
      <c r="W45" s="17"/>
      <c r="Y45" s="36"/>
      <c r="Z45" s="13"/>
      <c r="AA45" s="13"/>
      <c r="AB45" s="13"/>
      <c r="AC45" s="13"/>
      <c r="AE45" s="30"/>
      <c r="AF45" s="10"/>
      <c r="AG45" s="10"/>
      <c r="AH45" s="10"/>
      <c r="AI45" s="37"/>
    </row>
    <row r="46" spans="2:35" hidden="1" outlineLevel="1" x14ac:dyDescent="0.2">
      <c r="B46" s="4"/>
      <c r="D46" s="6"/>
      <c r="E46" s="52"/>
      <c r="G46" s="52"/>
      <c r="H46" s="52"/>
      <c r="J46" s="164"/>
      <c r="K46" s="60"/>
      <c r="L46" s="122"/>
      <c r="M46" s="122"/>
      <c r="N46" s="61"/>
      <c r="O46" s="122"/>
      <c r="P46" s="122"/>
      <c r="Q46" s="122"/>
      <c r="R46" s="110"/>
      <c r="S46" s="122"/>
      <c r="T46" s="10"/>
      <c r="V46" s="13"/>
      <c r="Y46" s="36"/>
      <c r="Z46" s="13"/>
      <c r="AA46" s="13"/>
      <c r="AB46" s="13"/>
      <c r="AC46" s="13"/>
      <c r="AE46" s="30"/>
      <c r="AF46" s="10"/>
      <c r="AG46" s="10"/>
      <c r="AH46" s="10"/>
      <c r="AI46" s="37"/>
    </row>
    <row r="47" spans="2:35" hidden="1" outlineLevel="1" x14ac:dyDescent="0.2">
      <c r="B47" s="8"/>
      <c r="C47" s="9"/>
      <c r="D47" s="9"/>
      <c r="E47" s="54"/>
      <c r="F47" s="54"/>
      <c r="G47" s="54"/>
      <c r="H47" s="54"/>
      <c r="I47" s="54"/>
      <c r="J47" s="165"/>
      <c r="K47" s="123"/>
      <c r="L47" s="105"/>
      <c r="M47" s="105"/>
      <c r="N47" s="166"/>
      <c r="O47" s="105"/>
      <c r="P47" s="105"/>
      <c r="Q47" s="105"/>
      <c r="R47" s="103"/>
      <c r="S47" s="105"/>
      <c r="Y47" s="8"/>
      <c r="Z47" s="9"/>
      <c r="AA47" s="9"/>
      <c r="AB47" s="9"/>
      <c r="AC47" s="9"/>
      <c r="AD47" s="9"/>
      <c r="AE47" s="9"/>
      <c r="AF47" s="9"/>
      <c r="AG47" s="9"/>
      <c r="AH47" s="9"/>
      <c r="AI47" s="38"/>
    </row>
    <row r="48" spans="2:35" hidden="1" outlineLevel="1" x14ac:dyDescent="0.2">
      <c r="B48" s="115"/>
      <c r="C48" s="114"/>
      <c r="D48" s="114"/>
      <c r="E48" s="107"/>
      <c r="F48" s="107"/>
      <c r="G48" s="107"/>
      <c r="H48" s="107"/>
      <c r="I48" s="107"/>
      <c r="J48" s="169"/>
      <c r="K48" s="170"/>
      <c r="L48" s="108"/>
      <c r="M48" s="108"/>
      <c r="N48" s="167"/>
      <c r="O48" s="108"/>
      <c r="P48" s="108"/>
      <c r="Q48" s="108"/>
      <c r="R48" s="118"/>
      <c r="S48" s="108"/>
    </row>
    <row r="49" spans="1:35" ht="13.5" hidden="1" outlineLevel="1" thickBot="1" x14ac:dyDescent="0.25">
      <c r="J49" s="168"/>
      <c r="K49" s="142"/>
      <c r="L49" s="142"/>
      <c r="M49" s="142"/>
      <c r="N49" s="143"/>
      <c r="O49" s="63"/>
      <c r="P49" s="63"/>
      <c r="Q49" s="63"/>
      <c r="R49" s="63"/>
      <c r="S49" s="63"/>
    </row>
    <row r="50" spans="1:35" ht="13.5" hidden="1" outlineLevel="1" thickBot="1" x14ac:dyDescent="0.25"/>
    <row r="51" spans="1:35" hidden="1" outlineLevel="1" x14ac:dyDescent="0.2">
      <c r="B51" s="1"/>
      <c r="C51" s="11"/>
      <c r="D51" s="11"/>
      <c r="E51" s="51"/>
      <c r="F51" s="51"/>
      <c r="G51" s="51"/>
      <c r="H51" s="51"/>
      <c r="I51" s="51"/>
      <c r="J51" s="155"/>
      <c r="K51" s="156"/>
      <c r="L51" s="156"/>
      <c r="M51" s="156"/>
      <c r="N51" s="157"/>
      <c r="O51" s="109"/>
      <c r="P51" s="51"/>
      <c r="Q51" s="51"/>
      <c r="R51" s="111"/>
      <c r="Y51" s="35"/>
      <c r="Z51" s="2"/>
      <c r="AA51" s="2"/>
      <c r="AB51" s="2"/>
      <c r="AC51" s="2"/>
      <c r="AD51" s="2"/>
      <c r="AE51" s="2"/>
      <c r="AF51" s="2"/>
      <c r="AG51" s="2"/>
      <c r="AH51" s="2"/>
      <c r="AI51" s="3"/>
    </row>
    <row r="52" spans="1:35" hidden="1" outlineLevel="1" x14ac:dyDescent="0.2">
      <c r="B52" s="4"/>
      <c r="J52" s="158"/>
      <c r="K52" s="56"/>
      <c r="L52" s="56"/>
      <c r="M52" s="56"/>
      <c r="N52" s="159"/>
      <c r="O52" s="120"/>
      <c r="P52" s="56"/>
      <c r="Q52" s="56"/>
      <c r="R52" s="106"/>
      <c r="S52" s="56"/>
      <c r="Y52" s="4"/>
      <c r="AI52" s="5"/>
    </row>
    <row r="53" spans="1:35" hidden="1" outlineLevel="1" x14ac:dyDescent="0.2">
      <c r="B53" s="4"/>
      <c r="D53" s="6"/>
      <c r="E53" s="52"/>
      <c r="F53" s="52"/>
      <c r="G53" s="52"/>
      <c r="H53" s="52"/>
      <c r="J53" s="160"/>
      <c r="K53" s="121"/>
      <c r="L53" s="136"/>
      <c r="M53" s="136"/>
      <c r="N53" s="161"/>
      <c r="O53" s="112"/>
      <c r="P53" s="121"/>
      <c r="Q53" s="121"/>
      <c r="R53" s="101"/>
      <c r="S53" s="121"/>
      <c r="Y53" s="4"/>
      <c r="AI53" s="5"/>
    </row>
    <row r="54" spans="1:35" hidden="1" outlineLevel="1" x14ac:dyDescent="0.2">
      <c r="B54" s="4"/>
      <c r="D54" s="6"/>
      <c r="E54" s="52"/>
      <c r="G54" s="52"/>
      <c r="H54" s="52"/>
      <c r="J54" s="162"/>
      <c r="N54" s="163"/>
      <c r="O54" s="120"/>
      <c r="P54" s="56"/>
      <c r="Q54" s="56"/>
      <c r="R54" s="100"/>
      <c r="Y54" s="4"/>
      <c r="AI54" s="5"/>
    </row>
    <row r="55" spans="1:35" hidden="1" outlineLevel="1" x14ac:dyDescent="0.2">
      <c r="B55" s="4"/>
      <c r="J55" s="99"/>
      <c r="O55" s="120"/>
      <c r="P55" s="133"/>
      <c r="Q55" s="56"/>
      <c r="R55" s="135"/>
      <c r="Y55" s="4"/>
      <c r="AI55" s="5"/>
    </row>
    <row r="56" spans="1:35" hidden="1" outlineLevel="1" x14ac:dyDescent="0.2">
      <c r="B56" s="4"/>
      <c r="J56" s="164"/>
      <c r="K56" s="60"/>
      <c r="L56" s="122"/>
      <c r="M56" s="122"/>
      <c r="N56" s="61"/>
      <c r="O56" s="102"/>
      <c r="P56" s="122"/>
      <c r="Q56" s="122"/>
      <c r="R56" s="110"/>
      <c r="S56" s="122"/>
      <c r="T56" s="10"/>
      <c r="V56" s="13"/>
      <c r="Y56" s="36"/>
      <c r="Z56" s="13"/>
      <c r="AA56" s="13"/>
      <c r="AB56" s="13"/>
      <c r="AC56" s="13"/>
      <c r="AE56" s="30"/>
      <c r="AF56" s="10"/>
      <c r="AG56" s="10"/>
      <c r="AH56" s="10"/>
      <c r="AI56" s="37"/>
    </row>
    <row r="57" spans="1:35" hidden="1" outlineLevel="1" x14ac:dyDescent="0.2">
      <c r="B57" s="4"/>
      <c r="J57" s="164"/>
      <c r="K57" s="60"/>
      <c r="L57" s="122"/>
      <c r="M57" s="122"/>
      <c r="N57" s="61"/>
      <c r="O57" s="102"/>
      <c r="P57" s="122"/>
      <c r="Q57" s="122"/>
      <c r="R57" s="110"/>
      <c r="S57" s="122"/>
      <c r="T57" s="10"/>
      <c r="V57" s="13"/>
      <c r="W57" s="17"/>
      <c r="Y57" s="36"/>
      <c r="Z57" s="13"/>
      <c r="AA57" s="13"/>
      <c r="AB57" s="13"/>
      <c r="AC57" s="13"/>
      <c r="AE57" s="30"/>
      <c r="AF57" s="10"/>
      <c r="AG57" s="10"/>
      <c r="AH57" s="10"/>
      <c r="AI57" s="37"/>
    </row>
    <row r="58" spans="1:35" hidden="1" outlineLevel="1" x14ac:dyDescent="0.2">
      <c r="B58" s="4"/>
      <c r="D58" s="6"/>
      <c r="E58" s="52"/>
      <c r="G58" s="52"/>
      <c r="H58" s="52"/>
      <c r="J58" s="164"/>
      <c r="K58" s="60"/>
      <c r="L58" s="122"/>
      <c r="M58" s="122"/>
      <c r="N58" s="61"/>
      <c r="O58" s="102"/>
      <c r="P58" s="122"/>
      <c r="Q58" s="122"/>
      <c r="R58" s="110"/>
      <c r="S58" s="122"/>
      <c r="T58" s="10"/>
      <c r="V58" s="13"/>
      <c r="Y58" s="36"/>
      <c r="Z58" s="13"/>
      <c r="AA58" s="13"/>
      <c r="AB58" s="13"/>
      <c r="AC58" s="13"/>
      <c r="AE58" s="30"/>
      <c r="AF58" s="10"/>
      <c r="AG58" s="10"/>
      <c r="AH58" s="10"/>
      <c r="AI58" s="37"/>
    </row>
    <row r="59" spans="1:35" hidden="1" outlineLevel="1" x14ac:dyDescent="0.2">
      <c r="B59" s="8"/>
      <c r="C59" s="9"/>
      <c r="D59" s="9"/>
      <c r="E59" s="54"/>
      <c r="F59" s="54"/>
      <c r="G59" s="54"/>
      <c r="H59" s="54"/>
      <c r="I59" s="54"/>
      <c r="J59" s="165"/>
      <c r="K59" s="123"/>
      <c r="L59" s="105"/>
      <c r="M59" s="105"/>
      <c r="N59" s="166"/>
      <c r="O59" s="134"/>
      <c r="P59" s="105"/>
      <c r="Q59" s="105"/>
      <c r="R59" s="103"/>
      <c r="S59" s="63"/>
      <c r="Y59" s="8"/>
      <c r="Z59" s="9"/>
      <c r="AA59" s="9"/>
      <c r="AB59" s="9"/>
      <c r="AC59" s="9"/>
      <c r="AD59" s="9"/>
      <c r="AE59" s="9"/>
      <c r="AF59" s="9"/>
      <c r="AG59" s="9"/>
      <c r="AH59" s="9"/>
      <c r="AI59" s="38"/>
    </row>
    <row r="60" spans="1:35" hidden="1" outlineLevel="1" x14ac:dyDescent="0.2">
      <c r="J60" s="169"/>
      <c r="K60" s="170"/>
      <c r="L60" s="108"/>
      <c r="M60" s="108"/>
      <c r="N60" s="167"/>
      <c r="O60" s="117"/>
      <c r="P60" s="108"/>
      <c r="Q60" s="108"/>
      <c r="R60" s="118"/>
      <c r="S60" s="63"/>
    </row>
    <row r="61" spans="1:35" ht="13.5" hidden="1" outlineLevel="1" thickBot="1" x14ac:dyDescent="0.25">
      <c r="J61" s="168"/>
      <c r="K61" s="142" t="s">
        <v>96</v>
      </c>
      <c r="L61" s="142">
        <f>L60</f>
        <v>0</v>
      </c>
      <c r="M61" s="142">
        <f>((M59*(1+Q$10))-$L$8)/$L$8</f>
        <v>-1</v>
      </c>
      <c r="N61" s="143">
        <f>((N59*(1+R$10))-$L$8)/$L$8</f>
        <v>-1</v>
      </c>
      <c r="O61" s="63"/>
      <c r="P61" s="63"/>
      <c r="Q61" s="63"/>
      <c r="R61" s="63"/>
      <c r="S61" s="63"/>
    </row>
    <row r="62" spans="1:35" ht="13.5" hidden="1" outlineLevel="1" thickBot="1" x14ac:dyDescent="0.25"/>
    <row r="63" spans="1:35" hidden="1" outlineLevel="1" x14ac:dyDescent="0.2">
      <c r="A63" s="189"/>
      <c r="B63" s="191"/>
      <c r="C63" s="11"/>
      <c r="D63" s="11"/>
      <c r="E63" s="51"/>
      <c r="F63" s="51"/>
      <c r="G63" s="51"/>
      <c r="H63" s="51"/>
      <c r="I63" s="51"/>
      <c r="J63" s="155"/>
      <c r="K63" s="156"/>
      <c r="L63" s="156"/>
      <c r="M63" s="156"/>
      <c r="N63" s="157"/>
      <c r="O63" s="109"/>
      <c r="P63" s="51"/>
      <c r="Q63" s="51"/>
      <c r="R63" s="111"/>
      <c r="Y63" s="35"/>
      <c r="Z63" s="2"/>
      <c r="AA63" s="2"/>
      <c r="AB63" s="2"/>
      <c r="AC63" s="2"/>
      <c r="AD63" s="2"/>
      <c r="AE63" s="2"/>
      <c r="AF63" s="2"/>
      <c r="AG63" s="2"/>
      <c r="AH63" s="2"/>
      <c r="AI63" s="3"/>
    </row>
    <row r="64" spans="1:35" hidden="1" outlineLevel="1" x14ac:dyDescent="0.2">
      <c r="B64" s="4"/>
      <c r="J64" s="158"/>
      <c r="K64" s="56"/>
      <c r="L64" s="56"/>
      <c r="M64" s="56"/>
      <c r="N64" s="159"/>
      <c r="O64" s="120"/>
      <c r="P64" s="56"/>
      <c r="Q64" s="56"/>
      <c r="R64" s="106"/>
      <c r="S64" s="56"/>
      <c r="Y64" s="4"/>
      <c r="AI64" s="5"/>
    </row>
    <row r="65" spans="1:35" hidden="1" outlineLevel="1" x14ac:dyDescent="0.2">
      <c r="B65" s="4"/>
      <c r="D65" s="6"/>
      <c r="E65" s="6"/>
      <c r="F65" s="6"/>
      <c r="G65" s="6"/>
      <c r="H65" s="6"/>
      <c r="J65" s="160"/>
      <c r="K65" s="121"/>
      <c r="L65" s="136"/>
      <c r="M65" s="136"/>
      <c r="N65" s="161"/>
      <c r="O65" s="112"/>
      <c r="P65" s="121"/>
      <c r="Q65" s="121"/>
      <c r="R65" s="101"/>
      <c r="S65" s="121"/>
      <c r="Y65" s="4"/>
      <c r="AI65" s="5"/>
    </row>
    <row r="66" spans="1:35" hidden="1" outlineLevel="1" x14ac:dyDescent="0.2">
      <c r="B66" s="4"/>
      <c r="D66" s="6"/>
      <c r="E66" s="6"/>
      <c r="F66" s="6"/>
      <c r="G66" s="6"/>
      <c r="H66" s="6"/>
      <c r="J66" s="162"/>
      <c r="N66" s="163"/>
      <c r="O66" s="120"/>
      <c r="P66" s="56"/>
      <c r="Q66" s="56"/>
      <c r="R66" s="100"/>
      <c r="Y66" s="4"/>
      <c r="AI66" s="5"/>
    </row>
    <row r="67" spans="1:35" hidden="1" outlineLevel="1" x14ac:dyDescent="0.2">
      <c r="B67" s="4"/>
      <c r="J67" s="99"/>
      <c r="O67" s="120"/>
      <c r="P67" s="133"/>
      <c r="Q67" s="56"/>
      <c r="R67" s="135"/>
      <c r="Y67" s="4"/>
      <c r="AI67" s="5"/>
    </row>
    <row r="68" spans="1:35" hidden="1" outlineLevel="1" x14ac:dyDescent="0.2">
      <c r="B68" s="4"/>
      <c r="D68" s="10"/>
      <c r="E68" s="10"/>
      <c r="F68" s="10"/>
      <c r="G68" s="10"/>
      <c r="H68" s="10"/>
      <c r="J68" s="164"/>
      <c r="K68" s="60"/>
      <c r="L68" s="219"/>
      <c r="M68" s="219"/>
      <c r="N68" s="219"/>
      <c r="O68" s="122"/>
      <c r="P68" s="122"/>
      <c r="Q68" s="122"/>
      <c r="R68" s="110"/>
      <c r="S68" s="122"/>
      <c r="T68" s="10"/>
      <c r="V68" s="13"/>
      <c r="Y68" s="36"/>
      <c r="Z68" s="13"/>
      <c r="AA68" s="13"/>
      <c r="AB68" s="13"/>
      <c r="AC68" s="13"/>
      <c r="AE68" s="30"/>
      <c r="AF68" s="10"/>
      <c r="AG68" s="10"/>
      <c r="AH68" s="10"/>
      <c r="AI68" s="37"/>
    </row>
    <row r="69" spans="1:35" hidden="1" outlineLevel="1" x14ac:dyDescent="0.2">
      <c r="B69" s="4"/>
      <c r="D69" s="10"/>
      <c r="E69" s="53"/>
      <c r="F69" s="53"/>
      <c r="G69" s="53"/>
      <c r="H69" s="53"/>
      <c r="J69" s="164"/>
      <c r="K69" s="60"/>
      <c r="L69" s="122"/>
      <c r="M69" s="122"/>
      <c r="N69" s="61"/>
      <c r="O69" s="102"/>
      <c r="P69" s="122"/>
      <c r="Q69" s="122"/>
      <c r="R69" s="110"/>
      <c r="S69" s="122"/>
      <c r="T69" s="10"/>
      <c r="V69" s="13"/>
      <c r="W69" s="17"/>
      <c r="Y69" s="36"/>
      <c r="Z69" s="13"/>
      <c r="AA69" s="13"/>
      <c r="AB69" s="13"/>
      <c r="AC69" s="13"/>
      <c r="AE69" s="30"/>
      <c r="AF69" s="10"/>
      <c r="AG69" s="10"/>
      <c r="AH69" s="10"/>
      <c r="AI69" s="37"/>
    </row>
    <row r="70" spans="1:35" hidden="1" outlineLevel="1" x14ac:dyDescent="0.2">
      <c r="B70" s="4"/>
      <c r="D70" s="6"/>
      <c r="E70" s="6"/>
      <c r="F70" s="6"/>
      <c r="G70" s="6"/>
      <c r="H70" s="6"/>
      <c r="J70" s="164"/>
      <c r="K70" s="60"/>
      <c r="L70" s="219"/>
      <c r="M70" s="219"/>
      <c r="N70" s="219"/>
      <c r="O70" s="122"/>
      <c r="P70" s="122"/>
      <c r="Q70" s="122"/>
      <c r="R70" s="110"/>
      <c r="S70" s="122"/>
      <c r="T70" s="10"/>
      <c r="V70" s="13"/>
      <c r="Y70" s="36"/>
      <c r="Z70" s="13"/>
      <c r="AA70" s="13"/>
      <c r="AB70" s="13"/>
      <c r="AC70" s="13"/>
      <c r="AE70" s="30"/>
      <c r="AF70" s="10"/>
      <c r="AG70" s="10"/>
      <c r="AH70" s="10"/>
      <c r="AI70" s="37"/>
    </row>
    <row r="71" spans="1:35" hidden="1" outlineLevel="1" x14ac:dyDescent="0.2">
      <c r="B71" s="8"/>
      <c r="C71" s="9"/>
      <c r="D71" s="9"/>
      <c r="E71" s="54"/>
      <c r="F71" s="54"/>
      <c r="G71" s="54"/>
      <c r="H71" s="54"/>
      <c r="I71" s="54"/>
      <c r="J71" s="165"/>
      <c r="K71" s="123"/>
      <c r="L71" s="105"/>
      <c r="M71" s="105"/>
      <c r="N71" s="166"/>
      <c r="O71" s="134"/>
      <c r="P71" s="105"/>
      <c r="Q71" s="105"/>
      <c r="R71" s="103"/>
      <c r="S71" s="63"/>
      <c r="Y71" s="8"/>
      <c r="Z71" s="9"/>
      <c r="AA71" s="9"/>
      <c r="AB71" s="9"/>
      <c r="AC71" s="9"/>
      <c r="AD71" s="9"/>
      <c r="AE71" s="9"/>
      <c r="AF71" s="9"/>
      <c r="AG71" s="9"/>
      <c r="AH71" s="9"/>
      <c r="AI71" s="38"/>
    </row>
    <row r="72" spans="1:35" hidden="1" outlineLevel="1" x14ac:dyDescent="0.2">
      <c r="J72" s="169"/>
      <c r="K72" s="170"/>
      <c r="L72" s="108"/>
      <c r="M72" s="108"/>
      <c r="N72" s="167"/>
      <c r="O72" s="117"/>
      <c r="P72" s="108"/>
      <c r="Q72" s="108"/>
      <c r="R72" s="118"/>
      <c r="S72" s="63"/>
    </row>
    <row r="73" spans="1:35" ht="13.5" hidden="1" outlineLevel="1" thickBot="1" x14ac:dyDescent="0.25">
      <c r="J73" s="168"/>
      <c r="K73" s="142"/>
      <c r="L73" s="142"/>
      <c r="M73" s="142"/>
      <c r="N73" s="143"/>
      <c r="O73" s="63"/>
      <c r="P73" s="63"/>
      <c r="Q73" s="63"/>
      <c r="R73" s="63"/>
      <c r="S73" s="63"/>
    </row>
    <row r="74" spans="1:35" collapsed="1" x14ac:dyDescent="0.2">
      <c r="J74" s="47"/>
      <c r="K74" s="63"/>
      <c r="L74" s="63"/>
      <c r="M74" s="63"/>
      <c r="N74" s="63"/>
      <c r="O74" s="63"/>
      <c r="P74" s="63"/>
      <c r="Q74" s="63"/>
      <c r="R74" s="63"/>
      <c r="S74" s="63"/>
    </row>
    <row r="75" spans="1:35" x14ac:dyDescent="0.2">
      <c r="A75" s="189"/>
      <c r="B75" s="259" t="s">
        <v>104</v>
      </c>
      <c r="C75" s="260"/>
      <c r="D75" s="261"/>
      <c r="E75" s="262"/>
      <c r="F75" s="262"/>
      <c r="G75" s="262"/>
      <c r="H75" s="263"/>
      <c r="S75" s="63"/>
    </row>
    <row r="76" spans="1:35" x14ac:dyDescent="0.2">
      <c r="B76" s="35"/>
      <c r="C76" s="2"/>
      <c r="D76" s="2" t="s">
        <v>67</v>
      </c>
      <c r="E76" s="51" t="s">
        <v>68</v>
      </c>
      <c r="F76" s="51" t="s">
        <v>69</v>
      </c>
      <c r="G76" s="51" t="s">
        <v>70</v>
      </c>
      <c r="H76" s="111" t="s">
        <v>71</v>
      </c>
      <c r="J76" s="265" t="s">
        <v>105</v>
      </c>
      <c r="K76" s="273" t="s">
        <v>106</v>
      </c>
      <c r="L76" s="266" t="s">
        <v>107</v>
      </c>
      <c r="M76" s="273" t="s">
        <v>107</v>
      </c>
      <c r="N76" s="267" t="s">
        <v>107</v>
      </c>
      <c r="O76" s="56"/>
      <c r="P76" s="56"/>
      <c r="Q76" s="56"/>
      <c r="R76" s="56"/>
      <c r="S76" s="63"/>
    </row>
    <row r="77" spans="1:35" ht="12.75" customHeight="1" x14ac:dyDescent="0.2">
      <c r="B77" s="4" t="s">
        <v>108</v>
      </c>
      <c r="C77" t="s">
        <v>109</v>
      </c>
      <c r="D77" t="s">
        <v>110</v>
      </c>
      <c r="E77" t="s">
        <v>110</v>
      </c>
      <c r="F77" t="s">
        <v>110</v>
      </c>
      <c r="G77" t="s">
        <v>110</v>
      </c>
      <c r="H77" s="5" t="s">
        <v>110</v>
      </c>
      <c r="J77" s="268" t="s">
        <v>111</v>
      </c>
      <c r="K77" s="274" t="s">
        <v>111</v>
      </c>
      <c r="L77" s="269" t="s">
        <v>112</v>
      </c>
      <c r="M77" s="275" t="s">
        <v>111</v>
      </c>
      <c r="N77" s="270" t="s">
        <v>111</v>
      </c>
      <c r="O77" s="121"/>
      <c r="P77" s="121"/>
      <c r="Q77" s="121"/>
      <c r="R77" s="121"/>
      <c r="S77" s="63"/>
    </row>
    <row r="78" spans="1:35" ht="12.75" customHeight="1" x14ac:dyDescent="0.2">
      <c r="B78" s="4" t="s">
        <v>113</v>
      </c>
      <c r="C78" t="s">
        <v>114</v>
      </c>
      <c r="D78" t="s">
        <v>110</v>
      </c>
      <c r="E78" t="s">
        <v>110</v>
      </c>
      <c r="F78" t="s">
        <v>110</v>
      </c>
      <c r="G78" t="s">
        <v>110</v>
      </c>
      <c r="H78" s="5" t="s">
        <v>110</v>
      </c>
      <c r="J78" s="99"/>
      <c r="L78" s="271" t="s">
        <v>9</v>
      </c>
      <c r="M78" s="272" t="s">
        <v>10</v>
      </c>
      <c r="N78" s="271" t="s">
        <v>115</v>
      </c>
      <c r="O78" s="56"/>
      <c r="P78" s="56"/>
      <c r="Q78" s="56"/>
      <c r="S78" s="63"/>
    </row>
    <row r="79" spans="1:35" x14ac:dyDescent="0.2">
      <c r="B79" s="4"/>
      <c r="H79" s="100"/>
      <c r="J79" s="99"/>
      <c r="N79" s="100"/>
      <c r="O79" s="56"/>
      <c r="P79" s="133"/>
      <c r="Q79" s="56"/>
      <c r="R79" s="133"/>
      <c r="S79" s="63"/>
    </row>
    <row r="80" spans="1:35" x14ac:dyDescent="0.2">
      <c r="B80" s="115" t="s">
        <v>74</v>
      </c>
      <c r="C80" s="114"/>
      <c r="D80" s="276">
        <f>19-14</f>
        <v>5</v>
      </c>
      <c r="E80" s="276">
        <f>+$D$80</f>
        <v>5</v>
      </c>
      <c r="F80" s="276">
        <f t="shared" ref="F80:H80" si="9">+$D$80</f>
        <v>5</v>
      </c>
      <c r="G80" s="276">
        <f t="shared" si="9"/>
        <v>5</v>
      </c>
      <c r="H80" s="277">
        <f t="shared" si="9"/>
        <v>5</v>
      </c>
      <c r="J80" s="281">
        <f>(SUM(D80:I80)*J$11)</f>
        <v>1000</v>
      </c>
      <c r="K80" s="278">
        <f>(5*9.5*K$11)</f>
        <v>570</v>
      </c>
      <c r="L80" s="279">
        <f>K80+J80</f>
        <v>1570</v>
      </c>
      <c r="M80" s="279">
        <f>J80+8*9.5*5</f>
        <v>1380</v>
      </c>
      <c r="N80" s="280">
        <f>J80</f>
        <v>1000</v>
      </c>
      <c r="O80" s="122"/>
      <c r="P80" s="122"/>
      <c r="Q80" s="122"/>
      <c r="R80" s="122"/>
      <c r="S80" s="63"/>
    </row>
    <row r="81" spans="2:35" x14ac:dyDescent="0.2">
      <c r="B81" s="8"/>
      <c r="C81" s="9"/>
      <c r="D81" s="9"/>
      <c r="E81" s="54"/>
      <c r="F81" s="54"/>
      <c r="G81" s="54"/>
      <c r="H81" s="264"/>
      <c r="J81" s="282"/>
      <c r="K81" s="283"/>
      <c r="L81" s="105"/>
      <c r="M81" s="105"/>
      <c r="N81" s="103"/>
      <c r="O81" s="60"/>
      <c r="P81" s="60"/>
      <c r="Q81" s="60"/>
      <c r="R81" s="60"/>
      <c r="S81" s="63"/>
    </row>
    <row r="82" spans="2:35" ht="12.75" hidden="1" customHeight="1" outlineLevel="2" x14ac:dyDescent="0.2">
      <c r="J82" s="47"/>
      <c r="K82" s="63"/>
      <c r="L82" s="63"/>
      <c r="M82" s="63"/>
      <c r="N82" s="63"/>
      <c r="O82" s="63"/>
      <c r="P82" s="63"/>
      <c r="Q82" s="63"/>
      <c r="R82" s="63"/>
      <c r="S82" s="63"/>
    </row>
    <row r="83" spans="2:35" ht="13.5" hidden="1" customHeight="1" outlineLevel="2" thickBot="1" x14ac:dyDescent="0.25">
      <c r="Y83" s="35"/>
      <c r="Z83" s="2"/>
      <c r="AA83" s="2"/>
      <c r="AB83" s="2"/>
      <c r="AC83" s="2"/>
      <c r="AD83" s="2"/>
      <c r="AE83" s="2"/>
      <c r="AF83" s="2"/>
      <c r="AG83" s="2"/>
      <c r="AH83" s="2"/>
      <c r="AI83" s="3"/>
    </row>
    <row r="84" spans="2:35" ht="12.75" hidden="1" customHeight="1" outlineLevel="2" x14ac:dyDescent="0.2">
      <c r="B84" s="233"/>
      <c r="C84" s="233"/>
      <c r="D84" s="233"/>
      <c r="R84" s="111"/>
      <c r="Y84" s="4"/>
      <c r="AI84" s="5"/>
    </row>
    <row r="85" spans="2:35" ht="12.75" hidden="1" customHeight="1" outlineLevel="2" x14ac:dyDescent="0.2">
      <c r="J85" s="56"/>
      <c r="K85" s="56"/>
      <c r="L85" s="56"/>
      <c r="M85" s="56"/>
      <c r="N85" s="56"/>
      <c r="O85" s="56"/>
      <c r="P85" s="56"/>
      <c r="Q85" s="56"/>
      <c r="R85" s="106"/>
      <c r="S85" s="56"/>
      <c r="Y85" s="4"/>
      <c r="AI85" s="5"/>
    </row>
    <row r="86" spans="2:35" ht="12.75" hidden="1" customHeight="1" outlineLevel="2" x14ac:dyDescent="0.2">
      <c r="D86" s="6"/>
      <c r="E86" s="52"/>
      <c r="F86" s="52"/>
      <c r="G86" s="52"/>
      <c r="H86" s="52"/>
      <c r="J86" s="121"/>
      <c r="K86" s="121"/>
      <c r="L86" s="136"/>
      <c r="M86" s="136"/>
      <c r="N86" s="136"/>
      <c r="O86" s="121"/>
      <c r="P86" s="121"/>
      <c r="Q86" s="121"/>
      <c r="R86" s="101"/>
      <c r="S86" s="121"/>
      <c r="Y86" s="4"/>
      <c r="AI86" s="5"/>
    </row>
    <row r="87" spans="2:35" ht="12.75" hidden="1" customHeight="1" outlineLevel="2" x14ac:dyDescent="0.2">
      <c r="D87" s="6"/>
      <c r="E87" s="52"/>
      <c r="F87" s="52"/>
      <c r="G87" s="52"/>
      <c r="H87" s="52"/>
      <c r="O87" s="56"/>
      <c r="P87" s="56"/>
      <c r="Q87" s="56"/>
      <c r="R87" s="100"/>
      <c r="Y87" s="4"/>
      <c r="AI87" s="5"/>
    </row>
    <row r="88" spans="2:35" ht="12.75" hidden="1" customHeight="1" outlineLevel="2" x14ac:dyDescent="0.2">
      <c r="O88" s="56"/>
      <c r="P88" s="133"/>
      <c r="Q88" s="56"/>
      <c r="R88" s="135"/>
      <c r="Y88" s="4"/>
      <c r="AI88" s="5"/>
    </row>
    <row r="89" spans="2:35" ht="12.75" hidden="1" customHeight="1" outlineLevel="2" x14ac:dyDescent="0.2">
      <c r="D89" s="10"/>
      <c r="E89" s="53"/>
      <c r="F89" s="53"/>
      <c r="G89" s="53"/>
      <c r="H89" s="53"/>
      <c r="J89" s="60"/>
      <c r="K89" s="60"/>
      <c r="L89" s="122"/>
      <c r="M89" s="122"/>
      <c r="N89" s="122"/>
      <c r="O89" s="122"/>
      <c r="P89" s="122"/>
      <c r="Q89" s="122"/>
      <c r="R89" s="110"/>
      <c r="S89" s="122"/>
      <c r="T89" s="10"/>
      <c r="V89" s="13"/>
      <c r="Y89" s="36"/>
      <c r="Z89" s="13"/>
      <c r="AA89" s="13"/>
      <c r="AB89" s="13"/>
      <c r="AC89" s="13"/>
      <c r="AE89" s="30"/>
      <c r="AF89" s="10"/>
      <c r="AG89" s="10"/>
      <c r="AH89" s="10"/>
      <c r="AI89" s="37"/>
    </row>
    <row r="90" spans="2:35" ht="12.75" hidden="1" customHeight="1" outlineLevel="2" x14ac:dyDescent="0.2">
      <c r="D90" s="10"/>
      <c r="E90" s="53"/>
      <c r="F90" s="53"/>
      <c r="G90" s="53"/>
      <c r="H90" s="53"/>
      <c r="J90" s="60"/>
      <c r="K90" s="60"/>
      <c r="L90" s="122"/>
      <c r="M90" s="122"/>
      <c r="N90" s="122"/>
      <c r="O90" s="122"/>
      <c r="P90" s="122"/>
      <c r="Q90" s="122"/>
      <c r="R90" s="110"/>
      <c r="S90" s="122"/>
      <c r="T90" s="10"/>
      <c r="V90" s="13"/>
      <c r="W90" s="17"/>
      <c r="Y90" s="36"/>
      <c r="Z90" s="13"/>
      <c r="AA90" s="13"/>
      <c r="AB90" s="13"/>
      <c r="AC90" s="13"/>
      <c r="AE90" s="30"/>
      <c r="AF90" s="10"/>
      <c r="AG90" s="10"/>
      <c r="AH90" s="10"/>
      <c r="AI90" s="37"/>
    </row>
    <row r="91" spans="2:35" ht="12.75" hidden="1" customHeight="1" outlineLevel="2" x14ac:dyDescent="0.2">
      <c r="D91" s="6"/>
      <c r="E91" s="52"/>
      <c r="G91" s="52"/>
      <c r="H91" s="52"/>
      <c r="J91" s="60"/>
      <c r="K91" s="60"/>
      <c r="L91" s="122"/>
      <c r="M91" s="122"/>
      <c r="N91" s="122"/>
      <c r="O91" s="122"/>
      <c r="P91" s="122"/>
      <c r="Q91" s="122"/>
      <c r="R91" s="110"/>
      <c r="S91" s="122"/>
      <c r="T91" s="10"/>
      <c r="V91" s="13"/>
      <c r="Y91" s="36"/>
      <c r="Z91" s="13"/>
      <c r="AA91" s="13"/>
      <c r="AB91" s="13"/>
      <c r="AC91" s="13"/>
      <c r="AE91" s="30"/>
      <c r="AF91" s="10"/>
      <c r="AG91" s="10"/>
      <c r="AH91" s="10"/>
      <c r="AI91" s="37"/>
    </row>
    <row r="92" spans="2:35" ht="12.75" hidden="1" customHeight="1" outlineLevel="2" x14ac:dyDescent="0.2">
      <c r="J92" s="123"/>
      <c r="K92" s="123"/>
      <c r="L92" s="60"/>
      <c r="M92" s="60"/>
      <c r="N92" s="60"/>
      <c r="O92" s="60"/>
      <c r="P92" s="60"/>
      <c r="Q92" s="60"/>
      <c r="R92" s="103"/>
      <c r="S92" s="63"/>
      <c r="Y92" s="8"/>
      <c r="Z92" s="9"/>
      <c r="AA92" s="9"/>
      <c r="AB92" s="9"/>
      <c r="AC92" s="9"/>
      <c r="AD92" s="9"/>
      <c r="AE92" s="9"/>
      <c r="AF92" s="9"/>
      <c r="AG92" s="9"/>
      <c r="AH92" s="9"/>
      <c r="AI92" s="38"/>
    </row>
    <row r="93" spans="2:35" ht="12.75" hidden="1" customHeight="1" outlineLevel="2" x14ac:dyDescent="0.2">
      <c r="J93" s="123"/>
      <c r="K93" s="123"/>
      <c r="L93" s="63"/>
      <c r="M93" s="63"/>
      <c r="N93" s="63"/>
      <c r="O93" s="63"/>
      <c r="P93" s="63"/>
      <c r="Q93" s="63"/>
      <c r="R93" s="118"/>
      <c r="S93" s="63"/>
    </row>
    <row r="94" spans="2:35" ht="13.5" hidden="1" customHeight="1" outlineLevel="2" thickBot="1" x14ac:dyDescent="0.25">
      <c r="J94" s="47"/>
      <c r="K94" s="63"/>
      <c r="L94" s="63"/>
      <c r="M94" s="63"/>
      <c r="N94" s="63"/>
      <c r="O94" s="63"/>
      <c r="P94" s="63"/>
      <c r="Q94" s="63"/>
      <c r="R94" s="63"/>
      <c r="S94" s="63"/>
    </row>
    <row r="95" spans="2:35" ht="13.5" hidden="1" customHeight="1" outlineLevel="2" thickBot="1" x14ac:dyDescent="0.25"/>
    <row r="96" spans="2:35" ht="12.75" hidden="1" customHeight="1" outlineLevel="2" x14ac:dyDescent="0.2">
      <c r="B96" s="233"/>
      <c r="C96" s="233"/>
      <c r="D96" s="233"/>
      <c r="R96" s="111"/>
      <c r="Y96" s="35"/>
      <c r="Z96" s="2"/>
      <c r="AA96" s="2"/>
      <c r="AB96" s="2"/>
      <c r="AC96" s="2"/>
      <c r="AD96" s="2"/>
      <c r="AE96" s="2"/>
      <c r="AF96" s="2"/>
      <c r="AG96" s="2"/>
      <c r="AH96" s="2"/>
      <c r="AI96" s="3"/>
    </row>
    <row r="97" spans="2:35" ht="12.75" hidden="1" customHeight="1" outlineLevel="2" x14ac:dyDescent="0.2">
      <c r="J97" s="56"/>
      <c r="K97" s="56"/>
      <c r="L97" s="56"/>
      <c r="M97" s="56"/>
      <c r="N97" s="56"/>
      <c r="O97" s="56"/>
      <c r="P97" s="56"/>
      <c r="Q97" s="56"/>
      <c r="R97" s="106"/>
      <c r="S97" s="56"/>
      <c r="Y97" s="4"/>
      <c r="AI97" s="5"/>
    </row>
    <row r="98" spans="2:35" ht="12.75" hidden="1" customHeight="1" outlineLevel="2" x14ac:dyDescent="0.2">
      <c r="D98" s="6"/>
      <c r="E98" s="52"/>
      <c r="F98" s="52"/>
      <c r="G98" s="52"/>
      <c r="H98" s="52"/>
      <c r="J98" s="121"/>
      <c r="K98" s="121"/>
      <c r="L98" s="136"/>
      <c r="M98" s="136"/>
      <c r="N98" s="136"/>
      <c r="O98" s="121"/>
      <c r="P98" s="121"/>
      <c r="Q98" s="121"/>
      <c r="R98" s="101"/>
      <c r="S98" s="121"/>
      <c r="Y98" s="4"/>
      <c r="AI98" s="5"/>
    </row>
    <row r="99" spans="2:35" ht="12.75" hidden="1" customHeight="1" outlineLevel="2" x14ac:dyDescent="0.2">
      <c r="D99" s="6"/>
      <c r="E99" s="52"/>
      <c r="F99" s="52"/>
      <c r="G99" s="52"/>
      <c r="H99" s="52"/>
      <c r="O99" s="56"/>
      <c r="P99" s="56"/>
      <c r="Q99" s="56"/>
      <c r="R99" s="100"/>
      <c r="Y99" s="4"/>
      <c r="AI99" s="5"/>
    </row>
    <row r="100" spans="2:35" ht="12.75" hidden="1" customHeight="1" outlineLevel="2" x14ac:dyDescent="0.2">
      <c r="O100" s="56"/>
      <c r="P100" s="133"/>
      <c r="Q100" s="56"/>
      <c r="R100" s="135"/>
      <c r="Y100" s="4"/>
      <c r="AI100" s="5"/>
    </row>
    <row r="101" spans="2:35" ht="12.75" hidden="1" customHeight="1" outlineLevel="2" x14ac:dyDescent="0.2">
      <c r="J101" s="60"/>
      <c r="K101" s="60"/>
      <c r="L101" s="122"/>
      <c r="M101" s="122"/>
      <c r="N101" s="122"/>
      <c r="O101" s="122"/>
      <c r="P101" s="122"/>
      <c r="Q101" s="122"/>
      <c r="R101" s="110"/>
      <c r="S101" s="122"/>
      <c r="T101" s="10"/>
      <c r="V101" s="13"/>
      <c r="Y101" s="36"/>
      <c r="Z101" s="13"/>
      <c r="AA101" s="13"/>
      <c r="AB101" s="13"/>
      <c r="AC101" s="13"/>
      <c r="AE101" s="30"/>
      <c r="AF101" s="10"/>
      <c r="AG101" s="10"/>
      <c r="AH101" s="10"/>
      <c r="AI101" s="37"/>
    </row>
    <row r="102" spans="2:35" ht="12.75" hidden="1" customHeight="1" outlineLevel="2" x14ac:dyDescent="0.2">
      <c r="J102" s="60"/>
      <c r="K102" s="60"/>
      <c r="L102" s="122"/>
      <c r="M102" s="122"/>
      <c r="N102" s="122"/>
      <c r="O102" s="122"/>
      <c r="P102" s="122"/>
      <c r="Q102" s="122"/>
      <c r="R102" s="110"/>
      <c r="S102" s="122"/>
      <c r="T102" s="10"/>
      <c r="V102" s="13"/>
      <c r="W102" s="17"/>
      <c r="Y102" s="36"/>
      <c r="Z102" s="13"/>
      <c r="AA102" s="13"/>
      <c r="AB102" s="13"/>
      <c r="AC102" s="13"/>
      <c r="AE102" s="30"/>
      <c r="AF102" s="10"/>
      <c r="AG102" s="10"/>
      <c r="AH102" s="10"/>
      <c r="AI102" s="37"/>
    </row>
    <row r="103" spans="2:35" ht="12.75" hidden="1" customHeight="1" outlineLevel="2" x14ac:dyDescent="0.2">
      <c r="D103" s="6"/>
      <c r="E103" s="52"/>
      <c r="G103" s="52"/>
      <c r="H103" s="52"/>
      <c r="J103" s="60"/>
      <c r="K103" s="60"/>
      <c r="L103" s="122"/>
      <c r="M103" s="122"/>
      <c r="N103" s="122"/>
      <c r="O103" s="122"/>
      <c r="P103" s="122"/>
      <c r="Q103" s="122"/>
      <c r="R103" s="110"/>
      <c r="S103" s="122"/>
      <c r="T103" s="10"/>
      <c r="V103" s="13"/>
      <c r="Y103" s="36"/>
      <c r="Z103" s="13"/>
      <c r="AA103" s="13"/>
      <c r="AB103" s="13"/>
      <c r="AC103" s="13"/>
      <c r="AE103" s="30"/>
      <c r="AF103" s="10"/>
      <c r="AG103" s="10"/>
      <c r="AH103" s="10"/>
      <c r="AI103" s="37"/>
    </row>
    <row r="104" spans="2:35" ht="12.75" hidden="1" customHeight="1" outlineLevel="2" x14ac:dyDescent="0.2">
      <c r="J104" s="123"/>
      <c r="K104" s="123"/>
      <c r="L104" s="60"/>
      <c r="M104" s="60"/>
      <c r="N104" s="60"/>
      <c r="O104" s="60"/>
      <c r="P104" s="60"/>
      <c r="Q104" s="60"/>
      <c r="R104" s="103"/>
      <c r="S104" s="63"/>
      <c r="Y104" s="8"/>
      <c r="Z104" s="9"/>
      <c r="AA104" s="9"/>
      <c r="AB104" s="9"/>
      <c r="AC104" s="9"/>
      <c r="AD104" s="9"/>
      <c r="AE104" s="9"/>
      <c r="AF104" s="9"/>
      <c r="AG104" s="9"/>
      <c r="AH104" s="9"/>
      <c r="AI104" s="38"/>
    </row>
    <row r="105" spans="2:35" ht="12.75" hidden="1" customHeight="1" outlineLevel="2" x14ac:dyDescent="0.2">
      <c r="J105" s="123"/>
      <c r="K105" s="123"/>
      <c r="L105" s="63"/>
      <c r="M105" s="63"/>
      <c r="N105" s="63"/>
      <c r="O105" s="63"/>
      <c r="P105" s="63"/>
      <c r="Q105" s="63"/>
      <c r="R105" s="118"/>
      <c r="S105" s="63"/>
    </row>
    <row r="106" spans="2:35" ht="13.5" hidden="1" customHeight="1" outlineLevel="2" thickBot="1" x14ac:dyDescent="0.25">
      <c r="J106" s="47"/>
      <c r="K106" s="63"/>
      <c r="L106" s="63"/>
      <c r="M106" s="63"/>
      <c r="N106" s="63"/>
      <c r="O106" s="63"/>
      <c r="P106" s="63"/>
      <c r="Q106" s="63"/>
      <c r="R106" s="63"/>
      <c r="S106" s="63"/>
    </row>
    <row r="107" spans="2:35" ht="13.5" hidden="1" customHeight="1" outlineLevel="2" thickBot="1" x14ac:dyDescent="0.25"/>
    <row r="108" spans="2:35" ht="12.75" hidden="1" customHeight="1" outlineLevel="2" x14ac:dyDescent="0.2">
      <c r="B108" s="233"/>
      <c r="C108" s="233"/>
      <c r="D108" s="233"/>
      <c r="R108" s="111"/>
      <c r="Y108" s="35"/>
      <c r="Z108" s="2"/>
      <c r="AA108" s="2"/>
      <c r="AB108" s="2"/>
      <c r="AC108" s="2"/>
      <c r="AD108" s="2"/>
      <c r="AE108" s="2"/>
      <c r="AF108" s="2"/>
      <c r="AG108" s="2"/>
      <c r="AH108" s="2"/>
      <c r="AI108" s="3"/>
    </row>
    <row r="109" spans="2:35" ht="12.75" hidden="1" customHeight="1" outlineLevel="2" x14ac:dyDescent="0.2">
      <c r="J109" s="56"/>
      <c r="K109" s="56"/>
      <c r="L109" s="56"/>
      <c r="M109" s="56"/>
      <c r="N109" s="56"/>
      <c r="O109" s="56"/>
      <c r="P109" s="56"/>
      <c r="Q109" s="56"/>
      <c r="R109" s="106"/>
      <c r="S109" s="56"/>
      <c r="Y109" s="4"/>
      <c r="AI109" s="5"/>
    </row>
    <row r="110" spans="2:35" ht="12.75" hidden="1" customHeight="1" outlineLevel="2" x14ac:dyDescent="0.2">
      <c r="D110" s="6"/>
      <c r="E110" s="52"/>
      <c r="F110" s="52"/>
      <c r="G110" s="52"/>
      <c r="H110" s="52"/>
      <c r="J110" s="121"/>
      <c r="K110" s="121"/>
      <c r="L110" s="136"/>
      <c r="M110" s="136"/>
      <c r="N110" s="136"/>
      <c r="O110" s="121"/>
      <c r="P110" s="121"/>
      <c r="Q110" s="121"/>
      <c r="R110" s="101"/>
      <c r="S110" s="121"/>
      <c r="Y110" s="4"/>
      <c r="AI110" s="5"/>
    </row>
    <row r="111" spans="2:35" ht="12.75" hidden="1" customHeight="1" outlineLevel="2" x14ac:dyDescent="0.2">
      <c r="D111" s="6"/>
      <c r="E111" s="52"/>
      <c r="F111" s="52"/>
      <c r="G111" s="52"/>
      <c r="H111" s="52"/>
      <c r="O111" s="56"/>
      <c r="P111" s="56"/>
      <c r="Q111" s="56"/>
      <c r="R111" s="100"/>
      <c r="Y111" s="4"/>
      <c r="AI111" s="5"/>
    </row>
    <row r="112" spans="2:35" ht="12.75" hidden="1" customHeight="1" outlineLevel="2" x14ac:dyDescent="0.2">
      <c r="O112" s="56"/>
      <c r="P112" s="133"/>
      <c r="Q112" s="56"/>
      <c r="R112" s="135"/>
      <c r="Y112" s="4"/>
      <c r="AI112" s="5"/>
    </row>
    <row r="113" spans="2:35" ht="12.75" hidden="1" customHeight="1" outlineLevel="2" x14ac:dyDescent="0.2">
      <c r="J113" s="60"/>
      <c r="K113" s="60"/>
      <c r="L113" s="122"/>
      <c r="M113" s="122"/>
      <c r="N113" s="122"/>
      <c r="O113" s="122"/>
      <c r="P113" s="122"/>
      <c r="Q113" s="122"/>
      <c r="R113" s="110"/>
      <c r="S113" s="122"/>
      <c r="T113" s="10"/>
      <c r="V113" s="13"/>
      <c r="Y113" s="36"/>
      <c r="Z113" s="13"/>
      <c r="AA113" s="13"/>
      <c r="AB113" s="13"/>
      <c r="AC113" s="13"/>
      <c r="AE113" s="30"/>
      <c r="AF113" s="10"/>
      <c r="AG113" s="10"/>
      <c r="AH113" s="10"/>
      <c r="AI113" s="37"/>
    </row>
    <row r="114" spans="2:35" ht="12.75" hidden="1" customHeight="1" outlineLevel="2" x14ac:dyDescent="0.2">
      <c r="J114" s="60"/>
      <c r="K114" s="60"/>
      <c r="L114" s="122"/>
      <c r="M114" s="122"/>
      <c r="N114" s="122"/>
      <c r="O114" s="122"/>
      <c r="P114" s="122"/>
      <c r="Q114" s="122"/>
      <c r="R114" s="110"/>
      <c r="S114" s="122"/>
      <c r="T114" s="10"/>
      <c r="V114" s="13"/>
      <c r="W114" s="17"/>
      <c r="Y114" s="36"/>
      <c r="Z114" s="13"/>
      <c r="AA114" s="13"/>
      <c r="AB114" s="13"/>
      <c r="AC114" s="13"/>
      <c r="AE114" s="30"/>
      <c r="AF114" s="10"/>
      <c r="AG114" s="10"/>
      <c r="AH114" s="10"/>
      <c r="AI114" s="37"/>
    </row>
    <row r="115" spans="2:35" ht="12.75" hidden="1" customHeight="1" outlineLevel="2" x14ac:dyDescent="0.2">
      <c r="D115" s="6"/>
      <c r="E115" s="52"/>
      <c r="G115" s="52"/>
      <c r="H115" s="52"/>
      <c r="J115" s="60"/>
      <c r="K115" s="60"/>
      <c r="L115" s="122"/>
      <c r="M115" s="122"/>
      <c r="N115" s="122"/>
      <c r="O115" s="122"/>
      <c r="P115" s="122"/>
      <c r="Q115" s="122"/>
      <c r="R115" s="110"/>
      <c r="S115" s="122"/>
      <c r="T115" s="10"/>
      <c r="V115" s="13"/>
      <c r="Y115" s="36"/>
      <c r="Z115" s="13"/>
      <c r="AA115" s="13"/>
      <c r="AB115" s="13"/>
      <c r="AC115" s="13"/>
      <c r="AE115" s="30"/>
      <c r="AF115" s="10"/>
      <c r="AG115" s="10"/>
      <c r="AH115" s="10"/>
      <c r="AI115" s="37"/>
    </row>
    <row r="116" spans="2:35" ht="12.75" hidden="1" customHeight="1" outlineLevel="2" x14ac:dyDescent="0.2">
      <c r="J116" s="123"/>
      <c r="K116" s="123"/>
      <c r="L116" s="60"/>
      <c r="M116" s="60"/>
      <c r="N116" s="60"/>
      <c r="O116" s="60"/>
      <c r="P116" s="60"/>
      <c r="Q116" s="60"/>
      <c r="R116" s="103"/>
      <c r="S116" s="63"/>
      <c r="Y116" s="8"/>
      <c r="Z116" s="9"/>
      <c r="AA116" s="9"/>
      <c r="AB116" s="9"/>
      <c r="AC116" s="9"/>
      <c r="AD116" s="9"/>
      <c r="AE116" s="9"/>
      <c r="AF116" s="9"/>
      <c r="AG116" s="9"/>
      <c r="AH116" s="9"/>
      <c r="AI116" s="38"/>
    </row>
    <row r="117" spans="2:35" ht="12.75" hidden="1" customHeight="1" outlineLevel="2" x14ac:dyDescent="0.2">
      <c r="J117" s="123"/>
      <c r="K117" s="123"/>
      <c r="L117" s="63"/>
      <c r="M117" s="63"/>
      <c r="N117" s="63"/>
      <c r="O117" s="63"/>
      <c r="P117" s="63"/>
      <c r="Q117" s="63"/>
      <c r="R117" s="118"/>
      <c r="S117" s="63"/>
    </row>
    <row r="118" spans="2:35" ht="13.5" hidden="1" customHeight="1" outlineLevel="2" thickBot="1" x14ac:dyDescent="0.25">
      <c r="J118" s="47"/>
      <c r="K118" s="63"/>
      <c r="L118" s="63"/>
      <c r="M118" s="63"/>
      <c r="N118" s="63"/>
      <c r="O118" s="63"/>
      <c r="P118" s="63"/>
      <c r="Q118" s="63"/>
      <c r="R118" s="63"/>
      <c r="S118" s="63"/>
    </row>
    <row r="119" spans="2:35" ht="13.5" hidden="1" customHeight="1" outlineLevel="2" thickBot="1" x14ac:dyDescent="0.25">
      <c r="J119" s="234"/>
    </row>
    <row r="120" spans="2:35" ht="12.75" hidden="1" customHeight="1" outlineLevel="2" x14ac:dyDescent="0.2">
      <c r="B120" s="233"/>
      <c r="C120" s="233"/>
      <c r="D120" s="233"/>
      <c r="R120" s="111"/>
      <c r="Y120" s="35"/>
      <c r="Z120" s="2"/>
      <c r="AA120" s="2"/>
      <c r="AB120" s="2"/>
      <c r="AC120" s="2"/>
      <c r="AD120" s="2"/>
      <c r="AE120" s="2"/>
      <c r="AF120" s="2"/>
      <c r="AG120" s="2"/>
      <c r="AH120" s="2"/>
      <c r="AI120" s="3"/>
    </row>
    <row r="121" spans="2:35" ht="12.75" hidden="1" customHeight="1" outlineLevel="2" x14ac:dyDescent="0.2">
      <c r="J121" s="56"/>
      <c r="K121" s="56"/>
      <c r="L121" s="56"/>
      <c r="M121" s="56"/>
      <c r="N121" s="56"/>
      <c r="O121" s="56"/>
      <c r="P121" s="56"/>
      <c r="Q121" s="56"/>
      <c r="R121" s="106"/>
      <c r="S121" s="56"/>
      <c r="Y121" s="4"/>
      <c r="AI121" s="5"/>
    </row>
    <row r="122" spans="2:35" ht="12.75" hidden="1" customHeight="1" outlineLevel="2" x14ac:dyDescent="0.2">
      <c r="D122" s="6"/>
      <c r="E122" s="52"/>
      <c r="F122" s="52"/>
      <c r="G122" s="52"/>
      <c r="H122" s="52"/>
      <c r="J122" s="121"/>
      <c r="K122" s="121"/>
      <c r="L122" s="136"/>
      <c r="M122" s="136"/>
      <c r="N122" s="136"/>
      <c r="O122" s="56"/>
      <c r="P122" s="56"/>
      <c r="Q122" s="56"/>
      <c r="R122" s="106"/>
      <c r="S122" s="56"/>
      <c r="Y122" s="4"/>
      <c r="AI122" s="5"/>
    </row>
    <row r="123" spans="2:35" ht="12.75" hidden="1" customHeight="1" outlineLevel="2" x14ac:dyDescent="0.2">
      <c r="D123" s="6"/>
      <c r="E123" s="52"/>
      <c r="F123" s="52"/>
      <c r="G123" s="52"/>
      <c r="H123" s="52"/>
      <c r="O123" s="121"/>
      <c r="P123" s="121"/>
      <c r="Q123" s="121"/>
      <c r="R123" s="101"/>
      <c r="S123" s="121"/>
      <c r="Y123" s="4"/>
      <c r="AI123" s="5"/>
    </row>
    <row r="124" spans="2:35" ht="12.75" hidden="1" customHeight="1" outlineLevel="2" x14ac:dyDescent="0.2">
      <c r="D124" s="6"/>
      <c r="E124" s="52"/>
      <c r="F124" s="52"/>
      <c r="G124" s="52"/>
      <c r="H124" s="235"/>
      <c r="O124" s="56"/>
      <c r="P124" s="56"/>
      <c r="Q124" s="56"/>
      <c r="R124" s="100"/>
      <c r="Y124" s="4"/>
      <c r="AI124" s="5"/>
    </row>
    <row r="125" spans="2:35" ht="12.75" hidden="1" customHeight="1" outlineLevel="2" x14ac:dyDescent="0.2">
      <c r="O125" s="56"/>
      <c r="P125" s="133"/>
      <c r="Q125" s="56"/>
      <c r="R125" s="135"/>
      <c r="Y125" s="4"/>
      <c r="AI125" s="5"/>
    </row>
    <row r="126" spans="2:35" ht="12.75" hidden="1" customHeight="1" outlineLevel="2" x14ac:dyDescent="0.2">
      <c r="J126" s="60"/>
      <c r="K126" s="60"/>
      <c r="L126" s="122"/>
      <c r="M126" s="122"/>
      <c r="N126" s="122"/>
      <c r="O126" s="122"/>
      <c r="P126" s="122"/>
      <c r="Q126" s="122"/>
      <c r="R126" s="110"/>
      <c r="S126" s="122"/>
      <c r="T126" s="10"/>
      <c r="V126" s="13"/>
      <c r="Y126" s="36"/>
      <c r="Z126" s="13"/>
      <c r="AA126" s="13"/>
      <c r="AB126" s="13"/>
      <c r="AC126" s="13"/>
      <c r="AE126" s="30"/>
      <c r="AF126" s="10"/>
      <c r="AG126" s="10"/>
      <c r="AH126" s="10"/>
      <c r="AI126" s="37"/>
    </row>
    <row r="127" spans="2:35" ht="12.75" hidden="1" customHeight="1" outlineLevel="2" x14ac:dyDescent="0.2">
      <c r="J127" s="60"/>
      <c r="K127" s="60"/>
      <c r="L127" s="122"/>
      <c r="M127" s="122"/>
      <c r="N127" s="122"/>
      <c r="O127" s="122"/>
      <c r="P127" s="122"/>
      <c r="Q127" s="122"/>
      <c r="R127" s="110"/>
      <c r="S127" s="122"/>
      <c r="T127" s="10"/>
      <c r="V127" s="13"/>
      <c r="W127" s="17"/>
      <c r="Y127" s="36"/>
      <c r="Z127" s="13"/>
      <c r="AA127" s="13"/>
      <c r="AB127" s="13"/>
      <c r="AC127" s="13"/>
      <c r="AE127" s="30"/>
      <c r="AF127" s="10"/>
      <c r="AG127" s="10"/>
      <c r="AH127" s="10"/>
      <c r="AI127" s="37"/>
    </row>
    <row r="128" spans="2:35" ht="12.75" hidden="1" customHeight="1" outlineLevel="2" x14ac:dyDescent="0.2">
      <c r="D128" s="6"/>
      <c r="E128" s="52"/>
      <c r="G128" s="52"/>
      <c r="H128" s="235"/>
      <c r="J128" s="60"/>
      <c r="K128" s="60"/>
      <c r="L128" s="122"/>
      <c r="M128" s="122"/>
      <c r="N128" s="122"/>
      <c r="O128" s="122"/>
      <c r="P128" s="122"/>
      <c r="Q128" s="122"/>
      <c r="R128" s="110"/>
      <c r="S128" s="122"/>
      <c r="T128" s="10"/>
      <c r="V128" s="13"/>
      <c r="Y128" s="36"/>
      <c r="Z128" s="13"/>
      <c r="AA128" s="13"/>
      <c r="AB128" s="13"/>
      <c r="AC128" s="13"/>
      <c r="AE128" s="30"/>
      <c r="AF128" s="10"/>
      <c r="AG128" s="10"/>
      <c r="AH128" s="10"/>
      <c r="AI128" s="37"/>
    </row>
    <row r="129" spans="2:35" ht="12.75" hidden="1" customHeight="1" outlineLevel="2" x14ac:dyDescent="0.2">
      <c r="J129" s="123"/>
      <c r="K129" s="123"/>
      <c r="L129" s="60"/>
      <c r="M129" s="60"/>
      <c r="N129" s="60"/>
      <c r="O129" s="60"/>
      <c r="P129" s="60"/>
      <c r="Q129" s="60"/>
      <c r="R129" s="103"/>
      <c r="S129" s="63"/>
      <c r="Y129" s="8"/>
      <c r="Z129" s="9"/>
      <c r="AA129" s="9"/>
      <c r="AB129" s="9"/>
      <c r="AC129" s="9"/>
      <c r="AD129" s="9"/>
      <c r="AE129" s="9"/>
      <c r="AF129" s="9"/>
      <c r="AG129" s="9"/>
      <c r="AH129" s="9"/>
      <c r="AI129" s="38"/>
    </row>
    <row r="130" spans="2:35" ht="12.75" hidden="1" customHeight="1" outlineLevel="2" x14ac:dyDescent="0.2">
      <c r="J130" s="123"/>
      <c r="K130" s="123"/>
      <c r="L130" s="63"/>
      <c r="M130" s="63"/>
      <c r="N130" s="63"/>
      <c r="O130" s="63"/>
      <c r="P130" s="63"/>
      <c r="Q130" s="63"/>
      <c r="R130" s="118"/>
      <c r="S130" s="63"/>
    </row>
    <row r="131" spans="2:35" ht="13.5" hidden="1" customHeight="1" outlineLevel="2" thickBot="1" x14ac:dyDescent="0.25">
      <c r="J131" s="47"/>
      <c r="K131" s="63"/>
      <c r="L131" s="63"/>
      <c r="M131" s="63"/>
      <c r="N131" s="63"/>
      <c r="O131" s="63"/>
      <c r="P131" s="63"/>
      <c r="Q131" s="63"/>
      <c r="R131" s="63"/>
      <c r="S131" s="63"/>
    </row>
    <row r="132" spans="2:35" ht="13.5" hidden="1" customHeight="1" outlineLevel="2" thickBot="1" x14ac:dyDescent="0.25"/>
    <row r="133" spans="2:35" ht="12.75" hidden="1" customHeight="1" outlineLevel="2" x14ac:dyDescent="0.2">
      <c r="B133" s="233"/>
      <c r="C133" s="233"/>
      <c r="D133" s="233"/>
      <c r="R133" s="111"/>
      <c r="Y133" s="35"/>
      <c r="Z133" s="2"/>
      <c r="AA133" s="2"/>
      <c r="AB133" s="2"/>
      <c r="AC133" s="2"/>
      <c r="AD133" s="2"/>
      <c r="AE133" s="2"/>
      <c r="AF133" s="2"/>
      <c r="AG133" s="2"/>
      <c r="AH133" s="2"/>
      <c r="AI133" s="3"/>
    </row>
    <row r="134" spans="2:35" ht="12.75" hidden="1" customHeight="1" outlineLevel="2" x14ac:dyDescent="0.2">
      <c r="J134" s="56"/>
      <c r="K134" s="56"/>
      <c r="L134" s="56"/>
      <c r="M134" s="56"/>
      <c r="N134" s="56"/>
      <c r="O134" s="56"/>
      <c r="P134" s="56"/>
      <c r="Q134" s="56"/>
      <c r="R134" s="106"/>
      <c r="S134" s="56"/>
      <c r="Y134" s="4"/>
      <c r="AI134" s="5"/>
    </row>
    <row r="135" spans="2:35" ht="12.75" hidden="1" customHeight="1" outlineLevel="2" x14ac:dyDescent="0.2">
      <c r="D135" s="6"/>
      <c r="E135" s="52"/>
      <c r="F135" s="52"/>
      <c r="G135" s="52"/>
      <c r="H135" s="52"/>
      <c r="J135" s="121"/>
      <c r="K135" s="121"/>
      <c r="L135" s="136"/>
      <c r="M135" s="136"/>
      <c r="N135" s="136"/>
      <c r="O135" s="121"/>
      <c r="P135" s="121"/>
      <c r="Q135" s="121"/>
      <c r="R135" s="101"/>
      <c r="S135" s="121"/>
      <c r="Y135" s="4"/>
      <c r="AI135" s="5"/>
    </row>
    <row r="136" spans="2:35" ht="12.75" hidden="1" customHeight="1" outlineLevel="2" x14ac:dyDescent="0.2">
      <c r="D136" s="6"/>
      <c r="E136" s="52"/>
      <c r="F136" s="52"/>
      <c r="G136" s="52"/>
      <c r="H136" s="52"/>
      <c r="O136" s="56"/>
      <c r="P136" s="56"/>
      <c r="Q136" s="56"/>
      <c r="R136" s="100"/>
      <c r="Y136" s="4"/>
      <c r="AI136" s="5"/>
    </row>
    <row r="137" spans="2:35" ht="12.75" hidden="1" customHeight="1" outlineLevel="2" x14ac:dyDescent="0.2">
      <c r="O137" s="56"/>
      <c r="P137" s="133"/>
      <c r="Q137" s="56"/>
      <c r="R137" s="135"/>
      <c r="Y137" s="4"/>
      <c r="AI137" s="5"/>
    </row>
    <row r="138" spans="2:35" ht="12.75" hidden="1" customHeight="1" outlineLevel="2" x14ac:dyDescent="0.2">
      <c r="J138" s="60"/>
      <c r="K138" s="60"/>
      <c r="L138" s="122"/>
      <c r="M138" s="122"/>
      <c r="N138" s="122"/>
      <c r="O138" s="122"/>
      <c r="P138" s="122"/>
      <c r="Q138" s="122"/>
      <c r="R138" s="110"/>
      <c r="S138" s="122"/>
      <c r="T138" s="10"/>
      <c r="V138" s="13"/>
      <c r="Y138" s="36"/>
      <c r="Z138" s="13"/>
      <c r="AA138" s="13"/>
      <c r="AB138" s="13"/>
      <c r="AC138" s="13"/>
      <c r="AE138" s="30"/>
      <c r="AF138" s="10"/>
      <c r="AG138" s="10"/>
      <c r="AH138" s="10"/>
      <c r="AI138" s="37"/>
    </row>
    <row r="139" spans="2:35" ht="12.75" hidden="1" customHeight="1" outlineLevel="2" x14ac:dyDescent="0.2">
      <c r="J139" s="60"/>
      <c r="K139" s="60"/>
      <c r="L139" s="122"/>
      <c r="M139" s="122"/>
      <c r="N139" s="122"/>
      <c r="O139" s="122"/>
      <c r="P139" s="122"/>
      <c r="Q139" s="122"/>
      <c r="R139" s="110"/>
      <c r="S139" s="122"/>
      <c r="T139" s="10"/>
      <c r="V139" s="13"/>
      <c r="W139" s="17"/>
      <c r="Y139" s="36"/>
      <c r="Z139" s="13"/>
      <c r="AA139" s="13"/>
      <c r="AB139" s="13"/>
      <c r="AC139" s="13"/>
      <c r="AE139" s="30"/>
      <c r="AF139" s="10"/>
      <c r="AG139" s="10"/>
      <c r="AH139" s="10"/>
      <c r="AI139" s="37"/>
    </row>
    <row r="140" spans="2:35" ht="12.75" hidden="1" customHeight="1" outlineLevel="2" x14ac:dyDescent="0.2">
      <c r="D140" s="6"/>
      <c r="E140" s="52"/>
      <c r="G140" s="52"/>
      <c r="H140" s="52"/>
      <c r="J140" s="60"/>
      <c r="K140" s="60"/>
      <c r="L140" s="122"/>
      <c r="M140" s="122"/>
      <c r="N140" s="122"/>
      <c r="O140" s="122"/>
      <c r="P140" s="122"/>
      <c r="Q140" s="122"/>
      <c r="R140" s="110"/>
      <c r="S140" s="122"/>
      <c r="T140" s="10"/>
      <c r="V140" s="13"/>
      <c r="Y140" s="36"/>
      <c r="Z140" s="13"/>
      <c r="AA140" s="13"/>
      <c r="AB140" s="13"/>
      <c r="AC140" s="13"/>
      <c r="AE140" s="30"/>
      <c r="AF140" s="10"/>
      <c r="AG140" s="10"/>
      <c r="AH140" s="10"/>
      <c r="AI140" s="37"/>
    </row>
    <row r="141" spans="2:35" ht="12.75" hidden="1" customHeight="1" outlineLevel="2" x14ac:dyDescent="0.2">
      <c r="J141" s="123"/>
      <c r="K141" s="123"/>
      <c r="L141" s="60"/>
      <c r="M141" s="60"/>
      <c r="N141" s="60"/>
      <c r="O141" s="60"/>
      <c r="P141" s="60"/>
      <c r="Q141" s="60"/>
      <c r="R141" s="103"/>
      <c r="S141" s="63"/>
      <c r="Y141" s="8"/>
      <c r="Z141" s="9"/>
      <c r="AA141" s="9"/>
      <c r="AB141" s="9"/>
      <c r="AC141" s="9"/>
      <c r="AD141" s="9"/>
      <c r="AE141" s="9"/>
      <c r="AF141" s="9"/>
      <c r="AG141" s="9"/>
      <c r="AH141" s="9"/>
      <c r="AI141" s="38"/>
    </row>
    <row r="142" spans="2:35" ht="12.75" hidden="1" customHeight="1" outlineLevel="2" x14ac:dyDescent="0.2">
      <c r="J142" s="123"/>
      <c r="K142" s="123"/>
      <c r="L142" s="63"/>
      <c r="M142" s="63"/>
      <c r="N142" s="63"/>
      <c r="O142" s="63"/>
      <c r="P142" s="63"/>
      <c r="Q142" s="63"/>
      <c r="R142" s="118"/>
      <c r="S142" s="63"/>
    </row>
    <row r="143" spans="2:35" ht="13.5" hidden="1" customHeight="1" outlineLevel="2" thickBot="1" x14ac:dyDescent="0.25">
      <c r="J143" s="47"/>
      <c r="K143" s="63"/>
      <c r="L143" s="63"/>
      <c r="M143" s="63"/>
      <c r="N143" s="63"/>
      <c r="O143" s="63"/>
      <c r="P143" s="63"/>
      <c r="Q143" s="63"/>
      <c r="R143" s="63"/>
      <c r="S143" s="63"/>
    </row>
    <row r="144" spans="2:35" ht="13.5" hidden="1" customHeight="1" outlineLevel="2" thickBot="1" x14ac:dyDescent="0.25"/>
    <row r="145" spans="2:35" ht="12.75" hidden="1" customHeight="1" outlineLevel="2" x14ac:dyDescent="0.2">
      <c r="B145" s="233"/>
      <c r="C145" s="233"/>
      <c r="D145" s="233"/>
      <c r="R145" s="111"/>
      <c r="Y145" s="35"/>
      <c r="Z145" s="2"/>
      <c r="AA145" s="2"/>
      <c r="AB145" s="2"/>
      <c r="AC145" s="2"/>
      <c r="AD145" s="2"/>
      <c r="AE145" s="2"/>
      <c r="AF145" s="2"/>
      <c r="AG145" s="2"/>
      <c r="AH145" s="2"/>
      <c r="AI145" s="3"/>
    </row>
    <row r="146" spans="2:35" ht="12.75" hidden="1" customHeight="1" outlineLevel="2" x14ac:dyDescent="0.2">
      <c r="J146" s="56"/>
      <c r="K146" s="56"/>
      <c r="L146" s="56"/>
      <c r="M146" s="56"/>
      <c r="N146" s="56"/>
      <c r="O146" s="56"/>
      <c r="P146" s="56"/>
      <c r="Q146" s="56"/>
      <c r="R146" s="106"/>
      <c r="S146" s="56"/>
      <c r="Y146" s="4"/>
      <c r="AI146" s="5"/>
    </row>
    <row r="147" spans="2:35" ht="12.75" hidden="1" customHeight="1" outlineLevel="2" x14ac:dyDescent="0.2">
      <c r="D147" s="6"/>
      <c r="E147" s="52"/>
      <c r="F147" s="52"/>
      <c r="G147" s="52"/>
      <c r="H147" s="52"/>
      <c r="J147" s="121"/>
      <c r="K147" s="121"/>
      <c r="L147" s="136"/>
      <c r="M147" s="136"/>
      <c r="N147" s="136"/>
      <c r="O147" s="121"/>
      <c r="P147" s="121"/>
      <c r="Q147" s="121"/>
      <c r="R147" s="101"/>
      <c r="S147" s="121"/>
      <c r="Y147" s="4"/>
      <c r="AI147" s="5"/>
    </row>
    <row r="148" spans="2:35" ht="12.75" hidden="1" customHeight="1" outlineLevel="2" x14ac:dyDescent="0.2">
      <c r="D148" s="6"/>
      <c r="E148" s="52"/>
      <c r="G148" s="52"/>
      <c r="H148" s="52"/>
      <c r="O148" s="56"/>
      <c r="P148" s="56"/>
      <c r="Q148" s="56"/>
      <c r="R148" s="100"/>
      <c r="Y148" s="4"/>
      <c r="AI148" s="5"/>
    </row>
    <row r="149" spans="2:35" ht="12.75" hidden="1" customHeight="1" outlineLevel="2" x14ac:dyDescent="0.2">
      <c r="O149" s="56"/>
      <c r="P149" s="133"/>
      <c r="Q149" s="56"/>
      <c r="R149" s="135"/>
      <c r="Y149" s="4"/>
      <c r="AI149" s="5"/>
    </row>
    <row r="150" spans="2:35" ht="12.75" hidden="1" customHeight="1" outlineLevel="2" x14ac:dyDescent="0.2">
      <c r="J150" s="60"/>
      <c r="K150" s="60"/>
      <c r="L150" s="122"/>
      <c r="M150" s="122"/>
      <c r="N150" s="122"/>
      <c r="O150" s="122"/>
      <c r="P150" s="122"/>
      <c r="Q150" s="122"/>
      <c r="R150" s="110"/>
      <c r="S150" s="122"/>
      <c r="T150" s="10"/>
      <c r="V150" s="13"/>
      <c r="Y150" s="36"/>
      <c r="Z150" s="13"/>
      <c r="AA150" s="13"/>
      <c r="AB150" s="13"/>
      <c r="AC150" s="13"/>
      <c r="AE150" s="30"/>
      <c r="AF150" s="10"/>
      <c r="AG150" s="10"/>
      <c r="AH150" s="10"/>
      <c r="AI150" s="37"/>
    </row>
    <row r="151" spans="2:35" ht="12.75" hidden="1" customHeight="1" outlineLevel="2" x14ac:dyDescent="0.2">
      <c r="J151" s="60"/>
      <c r="K151" s="60"/>
      <c r="L151" s="122"/>
      <c r="M151" s="122"/>
      <c r="N151" s="122"/>
      <c r="O151" s="122"/>
      <c r="P151" s="122"/>
      <c r="Q151" s="122"/>
      <c r="R151" s="110"/>
      <c r="S151" s="122"/>
      <c r="T151" s="10"/>
      <c r="V151" s="13"/>
      <c r="W151" s="17"/>
      <c r="Y151" s="36"/>
      <c r="Z151" s="13"/>
      <c r="AA151" s="13"/>
      <c r="AB151" s="13"/>
      <c r="AC151" s="13"/>
      <c r="AE151" s="30"/>
      <c r="AF151" s="10"/>
      <c r="AG151" s="10"/>
      <c r="AH151" s="10"/>
      <c r="AI151" s="37"/>
    </row>
    <row r="152" spans="2:35" ht="12.75" hidden="1" customHeight="1" outlineLevel="2" x14ac:dyDescent="0.2">
      <c r="D152" s="6"/>
      <c r="E152" s="52"/>
      <c r="G152" s="52"/>
      <c r="H152" s="52"/>
      <c r="J152" s="60"/>
      <c r="K152" s="60"/>
      <c r="L152" s="122"/>
      <c r="M152" s="122"/>
      <c r="N152" s="122"/>
      <c r="O152" s="122"/>
      <c r="P152" s="122"/>
      <c r="Q152" s="122"/>
      <c r="R152" s="110"/>
      <c r="S152" s="122"/>
      <c r="T152" s="10"/>
      <c r="V152" s="13"/>
      <c r="Y152" s="36"/>
      <c r="Z152" s="13"/>
      <c r="AA152" s="13"/>
      <c r="AB152" s="13"/>
      <c r="AC152" s="13"/>
      <c r="AE152" s="30"/>
      <c r="AF152" s="10"/>
      <c r="AG152" s="10"/>
      <c r="AH152" s="10"/>
      <c r="AI152" s="37"/>
    </row>
    <row r="153" spans="2:35" ht="12.75" hidden="1" customHeight="1" outlineLevel="2" x14ac:dyDescent="0.2">
      <c r="J153" s="123"/>
      <c r="K153" s="123"/>
      <c r="L153" s="60"/>
      <c r="M153" s="60"/>
      <c r="N153" s="60"/>
      <c r="O153" s="60"/>
      <c r="P153" s="60"/>
      <c r="Q153" s="60"/>
      <c r="R153" s="103"/>
      <c r="S153" s="63"/>
      <c r="Y153" s="8"/>
      <c r="Z153" s="9"/>
      <c r="AA153" s="9"/>
      <c r="AB153" s="9"/>
      <c r="AC153" s="9"/>
      <c r="AD153" s="9"/>
      <c r="AE153" s="9"/>
      <c r="AF153" s="9"/>
      <c r="AG153" s="9"/>
      <c r="AH153" s="9"/>
      <c r="AI153" s="38"/>
    </row>
    <row r="154" spans="2:35" ht="12.75" hidden="1" customHeight="1" outlineLevel="2" x14ac:dyDescent="0.2">
      <c r="J154" s="123"/>
      <c r="K154" s="123"/>
      <c r="L154" s="63"/>
      <c r="M154" s="63"/>
      <c r="N154" s="63"/>
      <c r="O154" s="63"/>
      <c r="P154" s="63"/>
      <c r="Q154" s="63"/>
      <c r="R154" s="118"/>
      <c r="S154" s="63"/>
    </row>
    <row r="155" spans="2:35" ht="13.5" hidden="1" customHeight="1" outlineLevel="2" thickBot="1" x14ac:dyDescent="0.25">
      <c r="J155" s="47"/>
      <c r="K155" s="63"/>
      <c r="L155" s="63"/>
      <c r="M155" s="63"/>
      <c r="N155" s="63"/>
      <c r="O155" s="63"/>
      <c r="P155" s="63"/>
      <c r="Q155" s="63"/>
      <c r="R155" s="63"/>
      <c r="S155" s="63"/>
    </row>
    <row r="156" spans="2:35" ht="13.5" hidden="1" customHeight="1" outlineLevel="2" thickBot="1" x14ac:dyDescent="0.25"/>
    <row r="157" spans="2:35" ht="12.75" hidden="1" customHeight="1" outlineLevel="2" x14ac:dyDescent="0.2">
      <c r="B157" s="233"/>
      <c r="C157" s="233"/>
      <c r="D157" s="233"/>
      <c r="R157" s="111"/>
      <c r="Y157" s="35"/>
      <c r="Z157" s="2"/>
      <c r="AA157" s="2"/>
      <c r="AB157" s="2"/>
      <c r="AC157" s="2"/>
      <c r="AD157" s="2"/>
      <c r="AE157" s="2"/>
      <c r="AF157" s="2"/>
      <c r="AG157" s="2"/>
      <c r="AH157" s="2"/>
      <c r="AI157" s="3"/>
    </row>
    <row r="158" spans="2:35" ht="12.75" hidden="1" customHeight="1" outlineLevel="2" x14ac:dyDescent="0.2">
      <c r="J158" s="56"/>
      <c r="K158" s="56"/>
      <c r="L158" s="56"/>
      <c r="M158" s="56"/>
      <c r="N158" s="56"/>
      <c r="O158" s="56"/>
      <c r="P158" s="56"/>
      <c r="Q158" s="56"/>
      <c r="R158" s="106"/>
      <c r="S158" s="56"/>
      <c r="Y158" s="4"/>
      <c r="AI158" s="5"/>
    </row>
    <row r="159" spans="2:35" ht="12.75" hidden="1" customHeight="1" outlineLevel="2" x14ac:dyDescent="0.2">
      <c r="D159" s="6"/>
      <c r="E159" s="52"/>
      <c r="F159" s="52"/>
      <c r="G159" s="52"/>
      <c r="H159" s="52"/>
      <c r="J159" s="121"/>
      <c r="K159" s="121"/>
      <c r="L159" s="136"/>
      <c r="M159" s="136"/>
      <c r="N159" s="136"/>
      <c r="O159" s="121"/>
      <c r="P159" s="121"/>
      <c r="Q159" s="121"/>
      <c r="R159" s="101"/>
      <c r="S159" s="121"/>
      <c r="Y159" s="4"/>
      <c r="AI159" s="5"/>
    </row>
    <row r="160" spans="2:35" ht="12.75" hidden="1" customHeight="1" outlineLevel="2" x14ac:dyDescent="0.2">
      <c r="D160" s="6"/>
      <c r="E160" s="52"/>
      <c r="F160" s="52"/>
      <c r="G160" s="52"/>
      <c r="H160" s="52"/>
      <c r="O160" s="56"/>
      <c r="P160" s="56"/>
      <c r="Q160" s="56"/>
      <c r="R160" s="100"/>
      <c r="Y160" s="4"/>
      <c r="AI160" s="5"/>
    </row>
    <row r="161" spans="2:35" ht="12.75" hidden="1" customHeight="1" outlineLevel="2" x14ac:dyDescent="0.2">
      <c r="O161" s="56"/>
      <c r="P161" s="133"/>
      <c r="Q161" s="56"/>
      <c r="R161" s="135"/>
      <c r="Y161" s="4"/>
      <c r="AI161" s="5"/>
    </row>
    <row r="162" spans="2:35" ht="12.75" hidden="1" customHeight="1" outlineLevel="2" x14ac:dyDescent="0.2">
      <c r="J162" s="60"/>
      <c r="K162" s="60"/>
      <c r="L162" s="122"/>
      <c r="M162" s="122"/>
      <c r="N162" s="122"/>
      <c r="O162" s="122"/>
      <c r="P162" s="122"/>
      <c r="Q162" s="122"/>
      <c r="R162" s="110"/>
      <c r="S162" s="122"/>
      <c r="T162" s="10"/>
      <c r="V162" s="13"/>
      <c r="Y162" s="36"/>
      <c r="Z162" s="13"/>
      <c r="AA162" s="13"/>
      <c r="AB162" s="13"/>
      <c r="AC162" s="13"/>
      <c r="AE162" s="30"/>
      <c r="AF162" s="10"/>
      <c r="AG162" s="10"/>
      <c r="AH162" s="10"/>
      <c r="AI162" s="37"/>
    </row>
    <row r="163" spans="2:35" ht="12.75" hidden="1" customHeight="1" outlineLevel="2" x14ac:dyDescent="0.2">
      <c r="J163" s="60"/>
      <c r="K163" s="60"/>
      <c r="L163" s="122"/>
      <c r="M163" s="122"/>
      <c r="N163" s="122"/>
      <c r="O163" s="122"/>
      <c r="P163" s="122"/>
      <c r="Q163" s="122"/>
      <c r="R163" s="110"/>
      <c r="S163" s="122"/>
      <c r="T163" s="10"/>
      <c r="V163" s="13"/>
      <c r="W163" s="17"/>
      <c r="Y163" s="36"/>
      <c r="Z163" s="13"/>
      <c r="AA163" s="13"/>
      <c r="AB163" s="13"/>
      <c r="AC163" s="13"/>
      <c r="AE163" s="30"/>
      <c r="AF163" s="10"/>
      <c r="AG163" s="10"/>
      <c r="AH163" s="10"/>
      <c r="AI163" s="37"/>
    </row>
    <row r="164" spans="2:35" ht="12.75" hidden="1" customHeight="1" outlineLevel="2" x14ac:dyDescent="0.2">
      <c r="D164" s="6"/>
      <c r="E164" s="52"/>
      <c r="G164" s="52"/>
      <c r="H164" s="52"/>
      <c r="J164" s="60"/>
      <c r="K164" s="60"/>
      <c r="L164" s="122"/>
      <c r="M164" s="122"/>
      <c r="N164" s="122"/>
      <c r="O164" s="122"/>
      <c r="P164" s="122"/>
      <c r="Q164" s="122"/>
      <c r="R164" s="110"/>
      <c r="S164" s="122"/>
      <c r="T164" s="10"/>
      <c r="V164" s="13"/>
      <c r="Y164" s="36"/>
      <c r="Z164" s="13"/>
      <c r="AA164" s="13"/>
      <c r="AB164" s="13"/>
      <c r="AC164" s="13"/>
      <c r="AE164" s="30"/>
      <c r="AF164" s="10"/>
      <c r="AG164" s="10"/>
      <c r="AH164" s="10"/>
      <c r="AI164" s="37"/>
    </row>
    <row r="165" spans="2:35" ht="12.75" hidden="1" customHeight="1" outlineLevel="2" x14ac:dyDescent="0.2">
      <c r="J165" s="123"/>
      <c r="K165" s="123"/>
      <c r="L165" s="60"/>
      <c r="M165" s="60"/>
      <c r="N165" s="60"/>
      <c r="O165" s="60"/>
      <c r="P165" s="60"/>
      <c r="Q165" s="60"/>
      <c r="R165" s="103"/>
      <c r="S165" s="63"/>
      <c r="Y165" s="8"/>
      <c r="Z165" s="9"/>
      <c r="AA165" s="9"/>
      <c r="AB165" s="9"/>
      <c r="AC165" s="9"/>
      <c r="AD165" s="9"/>
      <c r="AE165" s="9"/>
      <c r="AF165" s="9"/>
      <c r="AG165" s="9"/>
      <c r="AH165" s="9"/>
      <c r="AI165" s="38"/>
    </row>
    <row r="166" spans="2:35" ht="12.75" hidden="1" customHeight="1" outlineLevel="2" x14ac:dyDescent="0.2">
      <c r="J166" s="123"/>
      <c r="K166" s="123"/>
      <c r="L166" s="63"/>
      <c r="M166" s="63"/>
      <c r="N166" s="63"/>
      <c r="O166" s="63"/>
      <c r="P166" s="63"/>
      <c r="Q166" s="63"/>
      <c r="R166" s="118"/>
      <c r="S166" s="63"/>
    </row>
    <row r="167" spans="2:35" ht="13.5" hidden="1" customHeight="1" outlineLevel="2" thickBot="1" x14ac:dyDescent="0.25">
      <c r="J167" s="47"/>
      <c r="K167" s="63"/>
      <c r="L167" s="63"/>
      <c r="M167" s="63"/>
      <c r="N167" s="63"/>
      <c r="O167" s="63"/>
      <c r="P167" s="63"/>
      <c r="Q167" s="63"/>
      <c r="R167" s="63"/>
      <c r="S167" s="63"/>
    </row>
    <row r="168" spans="2:35" ht="13.5" hidden="1" customHeight="1" outlineLevel="2" thickBot="1" x14ac:dyDescent="0.25"/>
    <row r="169" spans="2:35" ht="12.75" hidden="1" customHeight="1" outlineLevel="2" x14ac:dyDescent="0.2">
      <c r="B169" s="233"/>
      <c r="C169" s="233"/>
      <c r="D169" s="233"/>
      <c r="R169" s="111"/>
      <c r="Y169" s="35"/>
      <c r="Z169" s="2"/>
      <c r="AA169" s="2"/>
      <c r="AB169" s="2"/>
      <c r="AC169" s="2"/>
      <c r="AD169" s="2"/>
      <c r="AE169" s="2"/>
      <c r="AF169" s="2"/>
      <c r="AG169" s="2"/>
      <c r="AH169" s="2"/>
      <c r="AI169" s="3"/>
    </row>
    <row r="170" spans="2:35" ht="12.75" hidden="1" customHeight="1" outlineLevel="2" x14ac:dyDescent="0.2">
      <c r="J170" s="56"/>
      <c r="K170" s="56"/>
      <c r="L170" s="56"/>
      <c r="M170" s="56"/>
      <c r="N170" s="56"/>
      <c r="O170" s="56"/>
      <c r="P170" s="56"/>
      <c r="Q170" s="56"/>
      <c r="R170" s="106"/>
      <c r="S170" s="56"/>
      <c r="Y170" s="4"/>
      <c r="AI170" s="5"/>
    </row>
    <row r="171" spans="2:35" ht="12.75" hidden="1" customHeight="1" outlineLevel="2" x14ac:dyDescent="0.2">
      <c r="D171" s="6"/>
      <c r="E171" s="52"/>
      <c r="F171" s="52"/>
      <c r="G171" s="52"/>
      <c r="H171" s="52"/>
      <c r="J171" s="121"/>
      <c r="K171" s="121"/>
      <c r="L171" s="136"/>
      <c r="M171" s="136"/>
      <c r="N171" s="136"/>
      <c r="O171" s="121"/>
      <c r="P171" s="121"/>
      <c r="Q171" s="121"/>
      <c r="R171" s="101"/>
      <c r="S171" s="121"/>
      <c r="Y171" s="4"/>
      <c r="AI171" s="5"/>
    </row>
    <row r="172" spans="2:35" ht="12.75" hidden="1" customHeight="1" outlineLevel="2" x14ac:dyDescent="0.2">
      <c r="D172" s="6"/>
      <c r="E172" s="52"/>
      <c r="F172" s="52"/>
      <c r="G172" s="52"/>
      <c r="H172" s="52"/>
      <c r="O172" s="56"/>
      <c r="P172" s="56"/>
      <c r="Q172" s="56"/>
      <c r="R172" s="100"/>
      <c r="Y172" s="4"/>
      <c r="AI172" s="5"/>
    </row>
    <row r="173" spans="2:35" ht="12.75" hidden="1" customHeight="1" outlineLevel="2" x14ac:dyDescent="0.2">
      <c r="O173" s="56"/>
      <c r="P173" s="133"/>
      <c r="Q173" s="56"/>
      <c r="R173" s="135"/>
      <c r="Y173" s="4"/>
      <c r="AI173" s="5"/>
    </row>
    <row r="174" spans="2:35" ht="12.75" hidden="1" customHeight="1" outlineLevel="2" x14ac:dyDescent="0.2">
      <c r="J174" s="60"/>
      <c r="K174" s="60"/>
      <c r="L174" s="122"/>
      <c r="M174" s="122"/>
      <c r="N174" s="122"/>
      <c r="O174" s="122"/>
      <c r="P174" s="122"/>
      <c r="Q174" s="122"/>
      <c r="R174" s="110"/>
      <c r="S174" s="122"/>
      <c r="T174" s="10"/>
      <c r="V174" s="13"/>
      <c r="Y174" s="36"/>
      <c r="Z174" s="13"/>
      <c r="AA174" s="13"/>
      <c r="AB174" s="13"/>
      <c r="AC174" s="13"/>
      <c r="AE174" s="30"/>
      <c r="AF174" s="10"/>
      <c r="AG174" s="10"/>
      <c r="AH174" s="10"/>
      <c r="AI174" s="37"/>
    </row>
    <row r="175" spans="2:35" ht="12.75" hidden="1" customHeight="1" outlineLevel="2" x14ac:dyDescent="0.2">
      <c r="J175" s="60"/>
      <c r="K175" s="60"/>
      <c r="L175" s="122"/>
      <c r="M175" s="122"/>
      <c r="N175" s="122"/>
      <c r="O175" s="122"/>
      <c r="P175" s="122"/>
      <c r="Q175" s="122"/>
      <c r="R175" s="110"/>
      <c r="S175" s="122"/>
      <c r="T175" s="10"/>
      <c r="V175" s="13"/>
      <c r="W175" s="17"/>
      <c r="Y175" s="36"/>
      <c r="Z175" s="13"/>
      <c r="AA175" s="13"/>
      <c r="AB175" s="13"/>
      <c r="AC175" s="13"/>
      <c r="AE175" s="30"/>
      <c r="AF175" s="10"/>
      <c r="AG175" s="10"/>
      <c r="AH175" s="10"/>
      <c r="AI175" s="37"/>
    </row>
    <row r="176" spans="2:35" ht="12.75" hidden="1" customHeight="1" outlineLevel="2" x14ac:dyDescent="0.2">
      <c r="D176" s="6"/>
      <c r="E176" s="52"/>
      <c r="G176" s="52"/>
      <c r="H176" s="52"/>
      <c r="J176" s="60"/>
      <c r="K176" s="60"/>
      <c r="L176" s="122"/>
      <c r="M176" s="122"/>
      <c r="N176" s="122"/>
      <c r="O176" s="122"/>
      <c r="P176" s="122"/>
      <c r="Q176" s="122"/>
      <c r="R176" s="110"/>
      <c r="S176" s="122"/>
      <c r="T176" s="10"/>
      <c r="V176" s="13"/>
      <c r="Y176" s="36"/>
      <c r="Z176" s="13"/>
      <c r="AA176" s="13"/>
      <c r="AB176" s="13"/>
      <c r="AC176" s="13"/>
      <c r="AE176" s="30"/>
      <c r="AF176" s="10"/>
      <c r="AG176" s="10"/>
      <c r="AH176" s="10"/>
      <c r="AI176" s="37"/>
    </row>
    <row r="177" spans="2:35" ht="12.75" hidden="1" customHeight="1" outlineLevel="2" x14ac:dyDescent="0.2">
      <c r="J177" s="123"/>
      <c r="K177" s="123"/>
      <c r="L177" s="60"/>
      <c r="M177" s="60"/>
      <c r="N177" s="60"/>
      <c r="O177" s="60"/>
      <c r="P177" s="60"/>
      <c r="Q177" s="60"/>
      <c r="R177" s="103"/>
      <c r="S177" s="63"/>
      <c r="Y177" s="8"/>
      <c r="Z177" s="9"/>
      <c r="AA177" s="9"/>
      <c r="AB177" s="9"/>
      <c r="AC177" s="9"/>
      <c r="AD177" s="9"/>
      <c r="AE177" s="9"/>
      <c r="AF177" s="9"/>
      <c r="AG177" s="9"/>
      <c r="AH177" s="9"/>
      <c r="AI177" s="38"/>
    </row>
    <row r="178" spans="2:35" ht="12.75" hidden="1" customHeight="1" outlineLevel="2" x14ac:dyDescent="0.2">
      <c r="J178" s="123"/>
      <c r="K178" s="123"/>
      <c r="L178" s="63"/>
      <c r="M178" s="63"/>
      <c r="N178" s="63"/>
      <c r="O178" s="63"/>
      <c r="P178" s="63"/>
      <c r="Q178" s="63"/>
      <c r="R178" s="118"/>
      <c r="S178" s="63"/>
    </row>
    <row r="179" spans="2:35" ht="13.5" hidden="1" customHeight="1" outlineLevel="2" thickBot="1" x14ac:dyDescent="0.25">
      <c r="J179" s="47"/>
      <c r="K179" s="63"/>
      <c r="L179" s="63"/>
      <c r="M179" s="63"/>
      <c r="N179" s="63"/>
      <c r="O179" s="63"/>
      <c r="P179" s="63"/>
      <c r="Q179" s="63"/>
      <c r="R179" s="63"/>
      <c r="S179" s="63"/>
    </row>
    <row r="180" spans="2:35" ht="13.5" hidden="1" customHeight="1" outlineLevel="2" thickBot="1" x14ac:dyDescent="0.25"/>
    <row r="181" spans="2:35" ht="12.75" hidden="1" customHeight="1" outlineLevel="2" x14ac:dyDescent="0.2">
      <c r="B181" s="233"/>
      <c r="C181" s="233"/>
      <c r="D181" s="233"/>
      <c r="R181" s="111"/>
      <c r="Y181" s="35"/>
      <c r="Z181" s="2"/>
      <c r="AA181" s="2"/>
      <c r="AB181" s="2"/>
      <c r="AC181" s="2"/>
      <c r="AD181" s="2"/>
      <c r="AE181" s="2"/>
      <c r="AF181" s="2"/>
      <c r="AG181" s="2"/>
      <c r="AH181" s="2"/>
      <c r="AI181" s="3"/>
    </row>
    <row r="182" spans="2:35" ht="12.75" hidden="1" customHeight="1" outlineLevel="2" x14ac:dyDescent="0.2">
      <c r="J182" s="56"/>
      <c r="K182" s="56"/>
      <c r="L182" s="56"/>
      <c r="M182" s="56"/>
      <c r="N182" s="56"/>
      <c r="O182" s="56"/>
      <c r="P182" s="56"/>
      <c r="Q182" s="56"/>
      <c r="R182" s="106"/>
      <c r="S182" s="56"/>
      <c r="Y182" s="4"/>
      <c r="AI182" s="5"/>
    </row>
    <row r="183" spans="2:35" ht="12.75" hidden="1" customHeight="1" outlineLevel="2" x14ac:dyDescent="0.2">
      <c r="D183" s="6"/>
      <c r="E183" s="52"/>
      <c r="F183" s="52"/>
      <c r="G183" s="52"/>
      <c r="H183" s="52"/>
      <c r="J183" s="121"/>
      <c r="K183" s="121"/>
      <c r="L183" s="136"/>
      <c r="M183" s="136"/>
      <c r="N183" s="136"/>
      <c r="O183" s="121"/>
      <c r="P183" s="121"/>
      <c r="Q183" s="121"/>
      <c r="R183" s="101"/>
      <c r="S183" s="121"/>
      <c r="Y183" s="4"/>
      <c r="AI183" s="5"/>
    </row>
    <row r="184" spans="2:35" ht="12.75" hidden="1" customHeight="1" outlineLevel="2" x14ac:dyDescent="0.2">
      <c r="D184" s="6"/>
      <c r="E184" s="52"/>
      <c r="F184" s="52"/>
      <c r="G184" s="52"/>
      <c r="H184" s="52"/>
      <c r="O184" s="56"/>
      <c r="P184" s="56"/>
      <c r="Q184" s="56"/>
      <c r="R184" s="100"/>
      <c r="Y184" s="4"/>
      <c r="AI184" s="5"/>
    </row>
    <row r="185" spans="2:35" ht="12.75" hidden="1" customHeight="1" outlineLevel="2" x14ac:dyDescent="0.2">
      <c r="O185" s="56"/>
      <c r="P185" s="133"/>
      <c r="Q185" s="56"/>
      <c r="R185" s="135"/>
      <c r="Y185" s="4"/>
      <c r="AI185" s="5"/>
    </row>
    <row r="186" spans="2:35" ht="12.75" hidden="1" customHeight="1" outlineLevel="2" x14ac:dyDescent="0.2">
      <c r="J186" s="60"/>
      <c r="K186" s="60"/>
      <c r="L186" s="122"/>
      <c r="M186" s="122"/>
      <c r="N186" s="122"/>
      <c r="O186" s="122"/>
      <c r="P186" s="122"/>
      <c r="Q186" s="122"/>
      <c r="R186" s="110"/>
      <c r="S186" s="122"/>
      <c r="T186" s="10"/>
      <c r="V186" s="13"/>
      <c r="Y186" s="36"/>
      <c r="Z186" s="13"/>
      <c r="AA186" s="13"/>
      <c r="AB186" s="13"/>
      <c r="AC186" s="13"/>
      <c r="AE186" s="30"/>
      <c r="AF186" s="10"/>
      <c r="AG186" s="10"/>
      <c r="AH186" s="10"/>
      <c r="AI186" s="37"/>
    </row>
    <row r="187" spans="2:35" ht="12.75" hidden="1" customHeight="1" outlineLevel="2" x14ac:dyDescent="0.2">
      <c r="J187" s="60"/>
      <c r="K187" s="60"/>
      <c r="L187" s="122"/>
      <c r="M187" s="122"/>
      <c r="N187" s="122"/>
      <c r="O187" s="122"/>
      <c r="P187" s="122"/>
      <c r="Q187" s="122"/>
      <c r="R187" s="110"/>
      <c r="S187" s="122"/>
      <c r="T187" s="10"/>
      <c r="V187" s="13"/>
      <c r="W187" s="17"/>
      <c r="Y187" s="36"/>
      <c r="Z187" s="13"/>
      <c r="AA187" s="13"/>
      <c r="AB187" s="13"/>
      <c r="AC187" s="13"/>
      <c r="AE187" s="30"/>
      <c r="AF187" s="10"/>
      <c r="AG187" s="10"/>
      <c r="AH187" s="10"/>
      <c r="AI187" s="37"/>
    </row>
    <row r="188" spans="2:35" ht="12.75" hidden="1" customHeight="1" outlineLevel="2" x14ac:dyDescent="0.2">
      <c r="D188" s="6"/>
      <c r="E188" s="52"/>
      <c r="G188" s="52"/>
      <c r="H188" s="52"/>
      <c r="J188" s="60"/>
      <c r="K188" s="60"/>
      <c r="L188" s="122"/>
      <c r="M188" s="122"/>
      <c r="N188" s="122"/>
      <c r="O188" s="122"/>
      <c r="P188" s="122"/>
      <c r="Q188" s="122"/>
      <c r="R188" s="110"/>
      <c r="S188" s="122"/>
      <c r="T188" s="10"/>
      <c r="V188" s="13"/>
      <c r="Y188" s="36"/>
      <c r="Z188" s="13"/>
      <c r="AA188" s="13"/>
      <c r="AB188" s="13"/>
      <c r="AC188" s="13"/>
      <c r="AE188" s="30"/>
      <c r="AF188" s="10"/>
      <c r="AG188" s="10"/>
      <c r="AH188" s="10"/>
      <c r="AI188" s="37"/>
    </row>
    <row r="189" spans="2:35" ht="12.75" hidden="1" customHeight="1" outlineLevel="2" x14ac:dyDescent="0.2">
      <c r="J189" s="123"/>
      <c r="K189" s="123"/>
      <c r="L189" s="60"/>
      <c r="M189" s="60"/>
      <c r="N189" s="60"/>
      <c r="O189" s="60"/>
      <c r="P189" s="60"/>
      <c r="Q189" s="60"/>
      <c r="R189" s="103"/>
      <c r="S189" s="63"/>
      <c r="Y189" s="8"/>
      <c r="Z189" s="9"/>
      <c r="AA189" s="9"/>
      <c r="AB189" s="9"/>
      <c r="AC189" s="9"/>
      <c r="AD189" s="9"/>
      <c r="AE189" s="9"/>
      <c r="AF189" s="9"/>
      <c r="AG189" s="9"/>
      <c r="AH189" s="9"/>
      <c r="AI189" s="38"/>
    </row>
    <row r="190" spans="2:35" ht="12.75" hidden="1" customHeight="1" outlineLevel="2" x14ac:dyDescent="0.2">
      <c r="J190" s="123"/>
      <c r="K190" s="123"/>
      <c r="L190" s="63"/>
      <c r="M190" s="63"/>
      <c r="N190" s="63"/>
      <c r="O190" s="63"/>
      <c r="P190" s="63"/>
      <c r="Q190" s="63"/>
      <c r="R190" s="118"/>
      <c r="S190" s="63"/>
    </row>
    <row r="191" spans="2:35" ht="13.5" hidden="1" customHeight="1" outlineLevel="2" thickBot="1" x14ac:dyDescent="0.25">
      <c r="J191" s="47"/>
      <c r="K191" s="63"/>
      <c r="L191" s="63"/>
      <c r="M191" s="63"/>
      <c r="N191" s="63"/>
      <c r="O191" s="63"/>
      <c r="P191" s="63"/>
      <c r="Q191" s="63"/>
      <c r="R191" s="63"/>
      <c r="S191" s="63"/>
    </row>
    <row r="192" spans="2:35" ht="13.5" hidden="1" customHeight="1" outlineLevel="2" thickBot="1" x14ac:dyDescent="0.25"/>
    <row r="193" spans="2:35" ht="12.75" hidden="1" customHeight="1" outlineLevel="2" x14ac:dyDescent="0.2">
      <c r="B193" s="233"/>
      <c r="C193" s="233"/>
      <c r="D193" s="233"/>
      <c r="R193" s="111"/>
      <c r="Y193" s="35"/>
      <c r="Z193" s="2"/>
      <c r="AA193" s="2"/>
      <c r="AB193" s="2"/>
      <c r="AC193" s="2"/>
      <c r="AD193" s="2"/>
      <c r="AE193" s="2"/>
      <c r="AF193" s="2"/>
      <c r="AG193" s="2"/>
      <c r="AH193" s="2"/>
      <c r="AI193" s="3"/>
    </row>
    <row r="194" spans="2:35" ht="12.75" hidden="1" customHeight="1" outlineLevel="2" x14ac:dyDescent="0.2">
      <c r="J194" s="56"/>
      <c r="K194" s="56"/>
      <c r="L194" s="56"/>
      <c r="M194" s="56"/>
      <c r="N194" s="56"/>
      <c r="O194" s="56"/>
      <c r="P194" s="56"/>
      <c r="Q194" s="56"/>
      <c r="R194" s="106"/>
      <c r="S194" s="56"/>
      <c r="Y194" s="4"/>
      <c r="AI194" s="5"/>
    </row>
    <row r="195" spans="2:35" ht="12.75" hidden="1" customHeight="1" outlineLevel="2" x14ac:dyDescent="0.2">
      <c r="D195" s="6"/>
      <c r="E195" s="52"/>
      <c r="F195" s="52"/>
      <c r="G195" s="52"/>
      <c r="H195" s="52"/>
      <c r="J195" s="121"/>
      <c r="K195" s="121"/>
      <c r="L195" s="136"/>
      <c r="M195" s="136"/>
      <c r="N195" s="136"/>
      <c r="O195" s="121"/>
      <c r="P195" s="121"/>
      <c r="Q195" s="121"/>
      <c r="R195" s="101"/>
      <c r="S195" s="121"/>
      <c r="Y195" s="4"/>
      <c r="AI195" s="5"/>
    </row>
    <row r="196" spans="2:35" ht="12.75" hidden="1" customHeight="1" outlineLevel="2" x14ac:dyDescent="0.2">
      <c r="D196" s="6"/>
      <c r="E196" s="52"/>
      <c r="G196" s="52"/>
      <c r="H196" s="52"/>
      <c r="O196" s="56"/>
      <c r="P196" s="56"/>
      <c r="Q196" s="56"/>
      <c r="R196" s="100"/>
      <c r="Y196" s="4"/>
      <c r="AI196" s="5"/>
    </row>
    <row r="197" spans="2:35" ht="12.75" hidden="1" customHeight="1" outlineLevel="2" x14ac:dyDescent="0.2">
      <c r="O197" s="56"/>
      <c r="P197" s="133"/>
      <c r="Q197" s="56"/>
      <c r="R197" s="135"/>
      <c r="Y197" s="4"/>
      <c r="AI197" s="5"/>
    </row>
    <row r="198" spans="2:35" ht="12.75" hidden="1" customHeight="1" outlineLevel="2" x14ac:dyDescent="0.2">
      <c r="J198" s="60"/>
      <c r="K198" s="60"/>
      <c r="L198" s="122"/>
      <c r="M198" s="122"/>
      <c r="N198" s="122"/>
      <c r="O198" s="122"/>
      <c r="P198" s="122"/>
      <c r="Q198" s="122"/>
      <c r="R198" s="110"/>
      <c r="S198" s="122"/>
      <c r="T198" s="10"/>
      <c r="V198" s="13"/>
      <c r="Y198" s="36"/>
      <c r="Z198" s="13"/>
      <c r="AA198" s="13"/>
      <c r="AB198" s="13"/>
      <c r="AC198" s="13"/>
      <c r="AE198" s="30"/>
      <c r="AF198" s="10"/>
      <c r="AG198" s="10"/>
      <c r="AH198" s="10"/>
      <c r="AI198" s="37"/>
    </row>
    <row r="199" spans="2:35" ht="12.75" hidden="1" customHeight="1" outlineLevel="2" x14ac:dyDescent="0.2">
      <c r="J199" s="60"/>
      <c r="K199" s="60"/>
      <c r="L199" s="122"/>
      <c r="M199" s="122"/>
      <c r="N199" s="122"/>
      <c r="O199" s="122"/>
      <c r="P199" s="122"/>
      <c r="Q199" s="122"/>
      <c r="R199" s="110"/>
      <c r="S199" s="122"/>
      <c r="T199" s="10"/>
      <c r="V199" s="13"/>
      <c r="W199" s="17"/>
      <c r="Y199" s="36"/>
      <c r="Z199" s="13"/>
      <c r="AA199" s="13"/>
      <c r="AB199" s="13"/>
      <c r="AC199" s="13"/>
      <c r="AE199" s="30"/>
      <c r="AF199" s="10"/>
      <c r="AG199" s="10"/>
      <c r="AH199" s="10"/>
      <c r="AI199" s="37"/>
    </row>
    <row r="200" spans="2:35" ht="12.75" hidden="1" customHeight="1" outlineLevel="2" x14ac:dyDescent="0.2">
      <c r="D200" s="6"/>
      <c r="E200" s="52"/>
      <c r="G200" s="52"/>
      <c r="H200" s="52"/>
      <c r="J200" s="60"/>
      <c r="K200" s="60"/>
      <c r="L200" s="122"/>
      <c r="M200" s="122"/>
      <c r="N200" s="122"/>
      <c r="O200" s="122"/>
      <c r="P200" s="122"/>
      <c r="Q200" s="122"/>
      <c r="R200" s="110"/>
      <c r="S200" s="122"/>
      <c r="T200" s="10"/>
      <c r="V200" s="13"/>
      <c r="Y200" s="36"/>
      <c r="Z200" s="13"/>
      <c r="AA200" s="13"/>
      <c r="AB200" s="13"/>
      <c r="AC200" s="13"/>
      <c r="AE200" s="30"/>
      <c r="AF200" s="10"/>
      <c r="AG200" s="10"/>
      <c r="AH200" s="10"/>
      <c r="AI200" s="37"/>
    </row>
    <row r="201" spans="2:35" ht="12.75" hidden="1" customHeight="1" outlineLevel="2" x14ac:dyDescent="0.2">
      <c r="J201" s="123"/>
      <c r="K201" s="123"/>
      <c r="L201" s="60"/>
      <c r="M201" s="60"/>
      <c r="N201" s="60"/>
      <c r="O201" s="60"/>
      <c r="P201" s="60"/>
      <c r="Q201" s="60"/>
      <c r="R201" s="103"/>
      <c r="S201" s="63"/>
      <c r="Y201" s="8"/>
      <c r="Z201" s="9"/>
      <c r="AA201" s="9"/>
      <c r="AB201" s="9"/>
      <c r="AC201" s="9"/>
      <c r="AD201" s="9"/>
      <c r="AE201" s="9"/>
      <c r="AF201" s="9"/>
      <c r="AG201" s="9"/>
      <c r="AH201" s="9"/>
      <c r="AI201" s="38"/>
    </row>
    <row r="202" spans="2:35" ht="12.75" hidden="1" customHeight="1" outlineLevel="2" x14ac:dyDescent="0.2">
      <c r="J202" s="123"/>
      <c r="K202" s="123"/>
      <c r="L202" s="63"/>
      <c r="M202" s="63"/>
      <c r="N202" s="63"/>
      <c r="O202" s="63"/>
      <c r="P202" s="63"/>
      <c r="Q202" s="63"/>
      <c r="R202" s="118"/>
      <c r="S202" s="63"/>
    </row>
    <row r="203" spans="2:35" ht="13.5" hidden="1" customHeight="1" outlineLevel="2" thickBot="1" x14ac:dyDescent="0.25">
      <c r="J203" s="47"/>
      <c r="K203" s="63"/>
      <c r="L203" s="63"/>
      <c r="M203" s="63"/>
      <c r="N203" s="63"/>
      <c r="O203" s="63"/>
      <c r="P203" s="63"/>
      <c r="Q203" s="63"/>
      <c r="R203" s="63"/>
      <c r="S203" s="63"/>
    </row>
    <row r="204" spans="2:35" ht="13.5" hidden="1" customHeight="1" outlineLevel="2" thickBot="1" x14ac:dyDescent="0.25"/>
    <row r="205" spans="2:35" ht="12.75" hidden="1" customHeight="1" outlineLevel="2" x14ac:dyDescent="0.2">
      <c r="B205" s="233"/>
      <c r="C205" s="233"/>
      <c r="D205" s="233"/>
      <c r="R205" s="111"/>
      <c r="Y205" s="35"/>
      <c r="Z205" s="2"/>
      <c r="AA205" s="2"/>
      <c r="AB205" s="2"/>
      <c r="AC205" s="2"/>
      <c r="AD205" s="2"/>
      <c r="AE205" s="2"/>
      <c r="AF205" s="2"/>
      <c r="AG205" s="2"/>
      <c r="AH205" s="2"/>
      <c r="AI205" s="3"/>
    </row>
    <row r="206" spans="2:35" ht="12.75" hidden="1" customHeight="1" outlineLevel="2" x14ac:dyDescent="0.2">
      <c r="J206" s="56"/>
      <c r="K206" s="56"/>
      <c r="L206" s="56"/>
      <c r="M206" s="56"/>
      <c r="N206" s="56"/>
      <c r="O206" s="56"/>
      <c r="P206" s="56"/>
      <c r="Q206" s="56"/>
      <c r="R206" s="106"/>
      <c r="S206" s="56"/>
      <c r="Y206" s="4"/>
      <c r="AI206" s="5"/>
    </row>
    <row r="207" spans="2:35" ht="12.75" hidden="1" customHeight="1" outlineLevel="2" x14ac:dyDescent="0.2">
      <c r="D207" s="6"/>
      <c r="E207" s="52"/>
      <c r="G207" s="52"/>
      <c r="H207" s="236"/>
      <c r="J207" s="121"/>
      <c r="K207" s="121"/>
      <c r="L207" s="136"/>
      <c r="M207" s="136"/>
      <c r="N207" s="136"/>
      <c r="O207" s="56"/>
      <c r="P207" s="56"/>
      <c r="Q207" s="56"/>
      <c r="R207" s="106"/>
      <c r="S207" s="56"/>
      <c r="Y207" s="4"/>
      <c r="AI207" s="5"/>
    </row>
    <row r="208" spans="2:35" ht="12.75" hidden="1" customHeight="1" outlineLevel="2" x14ac:dyDescent="0.2">
      <c r="D208" s="6"/>
      <c r="E208" s="52"/>
      <c r="G208" s="52"/>
      <c r="H208" s="52"/>
      <c r="O208" s="121"/>
      <c r="P208" s="121"/>
      <c r="Q208" s="121"/>
      <c r="R208" s="101"/>
      <c r="S208" s="121"/>
      <c r="Y208" s="4"/>
      <c r="AI208" s="5"/>
    </row>
    <row r="209" spans="2:35" ht="12.75" hidden="1" customHeight="1" outlineLevel="2" x14ac:dyDescent="0.2">
      <c r="D209" s="6"/>
      <c r="E209" s="52"/>
      <c r="G209" s="52"/>
      <c r="H209" s="52"/>
      <c r="O209" s="56"/>
      <c r="P209" s="56"/>
      <c r="Q209" s="56"/>
      <c r="R209" s="100"/>
      <c r="Y209" s="4"/>
      <c r="AI209" s="5"/>
    </row>
    <row r="210" spans="2:35" ht="12.75" hidden="1" customHeight="1" outlineLevel="2" x14ac:dyDescent="0.2">
      <c r="O210" s="56"/>
      <c r="P210" s="133"/>
      <c r="Q210" s="56"/>
      <c r="R210" s="135"/>
      <c r="Y210" s="4"/>
      <c r="AI210" s="5"/>
    </row>
    <row r="211" spans="2:35" ht="12.75" hidden="1" customHeight="1" outlineLevel="2" x14ac:dyDescent="0.2">
      <c r="J211" s="60"/>
      <c r="K211" s="60"/>
      <c r="L211" s="122"/>
      <c r="M211" s="122"/>
      <c r="N211" s="122"/>
      <c r="O211" s="122"/>
      <c r="P211" s="122"/>
      <c r="Q211" s="122"/>
      <c r="R211" s="110"/>
      <c r="S211" s="122"/>
      <c r="T211" s="10"/>
      <c r="V211" s="13"/>
      <c r="Y211" s="36"/>
      <c r="Z211" s="13"/>
      <c r="AA211" s="13"/>
      <c r="AB211" s="13"/>
      <c r="AC211" s="13"/>
      <c r="AE211" s="30"/>
      <c r="AF211" s="10"/>
      <c r="AG211" s="10"/>
      <c r="AH211" s="10"/>
      <c r="AI211" s="37"/>
    </row>
    <row r="212" spans="2:35" ht="12.75" hidden="1" customHeight="1" outlineLevel="2" x14ac:dyDescent="0.2">
      <c r="J212" s="60"/>
      <c r="K212" s="60"/>
      <c r="L212" s="122"/>
      <c r="M212" s="122"/>
      <c r="N212" s="122"/>
      <c r="O212" s="122"/>
      <c r="P212" s="122"/>
      <c r="Q212" s="122"/>
      <c r="R212" s="110"/>
      <c r="S212" s="122"/>
      <c r="T212" s="10"/>
      <c r="V212" s="13"/>
      <c r="W212" s="17"/>
      <c r="Y212" s="36"/>
      <c r="Z212" s="13"/>
      <c r="AA212" s="13"/>
      <c r="AB212" s="13"/>
      <c r="AC212" s="13"/>
      <c r="AE212" s="30"/>
      <c r="AF212" s="10"/>
      <c r="AG212" s="10"/>
      <c r="AH212" s="10"/>
      <c r="AI212" s="37"/>
    </row>
    <row r="213" spans="2:35" ht="12.75" hidden="1" customHeight="1" outlineLevel="2" x14ac:dyDescent="0.2">
      <c r="D213" s="6"/>
      <c r="E213" s="52"/>
      <c r="G213" s="52"/>
      <c r="H213" s="52"/>
      <c r="J213" s="60"/>
      <c r="K213" s="60"/>
      <c r="L213" s="122"/>
      <c r="M213" s="122"/>
      <c r="N213" s="122"/>
      <c r="O213" s="122"/>
      <c r="P213" s="122"/>
      <c r="Q213" s="122"/>
      <c r="R213" s="110"/>
      <c r="S213" s="122"/>
      <c r="T213" s="10"/>
      <c r="V213" s="13"/>
      <c r="Y213" s="36"/>
      <c r="Z213" s="13"/>
      <c r="AA213" s="13"/>
      <c r="AB213" s="13"/>
      <c r="AC213" s="13"/>
      <c r="AE213" s="30"/>
      <c r="AF213" s="10"/>
      <c r="AG213" s="10"/>
      <c r="AH213" s="10"/>
      <c r="AI213" s="37"/>
    </row>
    <row r="214" spans="2:35" ht="12.75" hidden="1" customHeight="1" outlineLevel="2" x14ac:dyDescent="0.2">
      <c r="J214" s="123"/>
      <c r="K214" s="123"/>
      <c r="L214" s="60"/>
      <c r="M214" s="60"/>
      <c r="N214" s="60"/>
      <c r="O214" s="60"/>
      <c r="P214" s="60"/>
      <c r="Q214" s="60"/>
      <c r="R214" s="103"/>
      <c r="S214" s="63"/>
      <c r="Y214" s="8"/>
      <c r="Z214" s="9"/>
      <c r="AA214" s="9"/>
      <c r="AB214" s="9"/>
      <c r="AC214" s="9"/>
      <c r="AD214" s="9"/>
      <c r="AE214" s="9"/>
      <c r="AF214" s="9"/>
      <c r="AG214" s="9"/>
      <c r="AH214" s="9"/>
      <c r="AI214" s="38"/>
    </row>
    <row r="215" spans="2:35" ht="12.75" hidden="1" customHeight="1" outlineLevel="2" x14ac:dyDescent="0.2">
      <c r="J215" s="123"/>
      <c r="K215" s="123"/>
      <c r="L215" s="63"/>
      <c r="M215" s="63"/>
      <c r="N215" s="63"/>
      <c r="O215" s="63"/>
      <c r="P215" s="63"/>
      <c r="Q215" s="63"/>
      <c r="R215" s="118"/>
      <c r="S215" s="63"/>
    </row>
    <row r="216" spans="2:35" ht="13.5" hidden="1" customHeight="1" outlineLevel="2" thickBot="1" x14ac:dyDescent="0.25">
      <c r="J216" s="47"/>
      <c r="K216" s="63"/>
      <c r="L216" s="63"/>
      <c r="M216" s="63"/>
      <c r="N216" s="63"/>
      <c r="O216" s="63"/>
      <c r="P216" s="63"/>
      <c r="Q216" s="63"/>
      <c r="R216" s="63"/>
      <c r="S216" s="63"/>
    </row>
    <row r="217" spans="2:35" ht="13.5" hidden="1" customHeight="1" outlineLevel="2" thickBot="1" x14ac:dyDescent="0.25"/>
    <row r="218" spans="2:35" ht="12.75" hidden="1" customHeight="1" outlineLevel="2" x14ac:dyDescent="0.2">
      <c r="B218" s="233"/>
      <c r="C218" s="233"/>
      <c r="D218" s="233"/>
      <c r="R218" s="111"/>
      <c r="Y218" s="35"/>
      <c r="Z218" s="2"/>
      <c r="AA218" s="2"/>
      <c r="AB218" s="2"/>
      <c r="AC218" s="2"/>
      <c r="AD218" s="2"/>
      <c r="AE218" s="2"/>
      <c r="AF218" s="2"/>
      <c r="AG218" s="2"/>
      <c r="AH218" s="2"/>
      <c r="AI218" s="3"/>
    </row>
    <row r="219" spans="2:35" ht="12.75" hidden="1" customHeight="1" outlineLevel="2" x14ac:dyDescent="0.2">
      <c r="J219" s="56"/>
      <c r="K219" s="56"/>
      <c r="L219" s="56"/>
      <c r="M219" s="56"/>
      <c r="N219" s="56"/>
      <c r="O219" s="56"/>
      <c r="P219" s="56"/>
      <c r="Q219" s="56"/>
      <c r="R219" s="106"/>
      <c r="S219" s="56"/>
      <c r="Y219" s="4"/>
      <c r="AI219" s="5"/>
    </row>
    <row r="220" spans="2:35" ht="12.75" hidden="1" customHeight="1" outlineLevel="2" x14ac:dyDescent="0.2">
      <c r="D220" s="6"/>
      <c r="E220" s="52"/>
      <c r="F220" s="52"/>
      <c r="G220" s="52"/>
      <c r="H220" s="52"/>
      <c r="J220" s="121"/>
      <c r="K220" s="121"/>
      <c r="L220" s="136"/>
      <c r="M220" s="136"/>
      <c r="N220" s="136"/>
      <c r="O220" s="121"/>
      <c r="P220" s="121"/>
      <c r="Q220" s="121"/>
      <c r="R220" s="101"/>
      <c r="S220" s="121"/>
      <c r="Y220" s="4"/>
      <c r="AI220" s="5"/>
    </row>
    <row r="221" spans="2:35" ht="12.75" hidden="1" customHeight="1" outlineLevel="2" x14ac:dyDescent="0.2">
      <c r="D221" s="6"/>
      <c r="E221" s="52"/>
      <c r="F221" s="52"/>
      <c r="G221" s="52"/>
      <c r="H221" s="52"/>
      <c r="O221" s="56"/>
      <c r="P221" s="56"/>
      <c r="Q221" s="56"/>
      <c r="R221" s="100"/>
      <c r="Y221" s="4"/>
      <c r="AI221" s="5"/>
    </row>
    <row r="222" spans="2:35" ht="12.75" hidden="1" customHeight="1" outlineLevel="2" x14ac:dyDescent="0.2">
      <c r="O222" s="56"/>
      <c r="P222" s="133"/>
      <c r="Q222" s="56"/>
      <c r="R222" s="135"/>
      <c r="Y222" s="4"/>
      <c r="AI222" s="5"/>
    </row>
    <row r="223" spans="2:35" ht="12.75" hidden="1" customHeight="1" outlineLevel="2" x14ac:dyDescent="0.2">
      <c r="J223" s="60"/>
      <c r="K223" s="60"/>
      <c r="L223" s="122"/>
      <c r="M223" s="122"/>
      <c r="N223" s="122"/>
      <c r="O223" s="122"/>
      <c r="P223" s="122"/>
      <c r="Q223" s="122"/>
      <c r="R223" s="110"/>
      <c r="S223" s="122"/>
      <c r="T223" s="10"/>
      <c r="V223" s="13"/>
      <c r="Y223" s="36"/>
      <c r="Z223" s="13"/>
      <c r="AA223" s="13"/>
      <c r="AB223" s="13"/>
      <c r="AC223" s="13"/>
      <c r="AE223" s="30"/>
      <c r="AF223" s="10"/>
      <c r="AG223" s="10"/>
      <c r="AH223" s="10"/>
      <c r="AI223" s="37"/>
    </row>
    <row r="224" spans="2:35" ht="12.75" hidden="1" customHeight="1" outlineLevel="2" x14ac:dyDescent="0.2">
      <c r="J224" s="60"/>
      <c r="K224" s="60"/>
      <c r="L224" s="122"/>
      <c r="M224" s="122"/>
      <c r="N224" s="122"/>
      <c r="O224" s="122"/>
      <c r="P224" s="122"/>
      <c r="Q224" s="122"/>
      <c r="R224" s="110"/>
      <c r="S224" s="122"/>
      <c r="T224" s="10"/>
      <c r="V224" s="13"/>
      <c r="W224" s="17"/>
      <c r="Y224" s="36"/>
      <c r="Z224" s="13"/>
      <c r="AA224" s="13"/>
      <c r="AB224" s="13"/>
      <c r="AC224" s="13"/>
      <c r="AE224" s="30"/>
      <c r="AF224" s="10"/>
      <c r="AG224" s="10"/>
      <c r="AH224" s="10"/>
      <c r="AI224" s="37"/>
    </row>
    <row r="225" spans="2:35" ht="12.75" hidden="1" customHeight="1" outlineLevel="2" x14ac:dyDescent="0.2">
      <c r="D225" s="6"/>
      <c r="E225" s="52"/>
      <c r="G225" s="52"/>
      <c r="H225" s="52"/>
      <c r="J225" s="60"/>
      <c r="K225" s="60"/>
      <c r="L225" s="122"/>
      <c r="M225" s="122"/>
      <c r="N225" s="122"/>
      <c r="O225" s="122"/>
      <c r="P225" s="122"/>
      <c r="Q225" s="122"/>
      <c r="R225" s="110"/>
      <c r="S225" s="122"/>
      <c r="T225" s="10"/>
      <c r="V225" s="13"/>
      <c r="Y225" s="36"/>
      <c r="Z225" s="13"/>
      <c r="AA225" s="13"/>
      <c r="AB225" s="13"/>
      <c r="AC225" s="13"/>
      <c r="AE225" s="30"/>
      <c r="AF225" s="10"/>
      <c r="AG225" s="10"/>
      <c r="AH225" s="10"/>
      <c r="AI225" s="37"/>
    </row>
    <row r="226" spans="2:35" ht="12.75" hidden="1" customHeight="1" outlineLevel="2" x14ac:dyDescent="0.2">
      <c r="J226" s="123"/>
      <c r="K226" s="123"/>
      <c r="L226" s="60"/>
      <c r="M226" s="60"/>
      <c r="N226" s="60"/>
      <c r="O226" s="60"/>
      <c r="P226" s="60"/>
      <c r="Q226" s="60"/>
      <c r="R226" s="103"/>
      <c r="S226" s="63"/>
      <c r="Y226" s="8"/>
      <c r="Z226" s="9"/>
      <c r="AA226" s="9"/>
      <c r="AB226" s="9"/>
      <c r="AC226" s="9"/>
      <c r="AD226" s="9"/>
      <c r="AE226" s="9"/>
      <c r="AF226" s="9"/>
      <c r="AG226" s="9"/>
      <c r="AH226" s="9"/>
      <c r="AI226" s="38"/>
    </row>
    <row r="227" spans="2:35" ht="12.75" hidden="1" customHeight="1" outlineLevel="2" x14ac:dyDescent="0.2">
      <c r="J227" s="123"/>
      <c r="K227" s="123"/>
      <c r="L227" s="63"/>
      <c r="M227" s="63"/>
      <c r="N227" s="63"/>
      <c r="O227" s="63"/>
      <c r="P227" s="63"/>
      <c r="Q227" s="63"/>
      <c r="R227" s="118"/>
      <c r="S227" s="63"/>
    </row>
    <row r="228" spans="2:35" ht="13.5" hidden="1" customHeight="1" outlineLevel="2" thickBot="1" x14ac:dyDescent="0.25">
      <c r="J228" s="47"/>
      <c r="K228" s="63"/>
      <c r="L228" s="63"/>
      <c r="M228" s="63"/>
      <c r="N228" s="63"/>
      <c r="O228" s="63"/>
      <c r="P228" s="63"/>
      <c r="Q228" s="63"/>
      <c r="R228" s="63"/>
      <c r="S228" s="63"/>
    </row>
    <row r="229" spans="2:35" ht="13.5" hidden="1" customHeight="1" outlineLevel="2" thickBot="1" x14ac:dyDescent="0.25"/>
    <row r="230" spans="2:35" ht="12.75" hidden="1" customHeight="1" outlineLevel="2" x14ac:dyDescent="0.2">
      <c r="B230" s="233"/>
      <c r="C230" s="233"/>
      <c r="D230" s="233"/>
      <c r="R230" s="111"/>
      <c r="Y230" s="35"/>
      <c r="Z230" s="2"/>
      <c r="AA230" s="2"/>
      <c r="AB230" s="2"/>
      <c r="AC230" s="2"/>
      <c r="AD230" s="2"/>
      <c r="AE230" s="2"/>
      <c r="AF230" s="2"/>
      <c r="AG230" s="2"/>
      <c r="AH230" s="2"/>
      <c r="AI230" s="3"/>
    </row>
    <row r="231" spans="2:35" ht="12.75" hidden="1" customHeight="1" outlineLevel="2" x14ac:dyDescent="0.2">
      <c r="J231" s="56"/>
      <c r="K231" s="56"/>
      <c r="L231" s="56"/>
      <c r="M231" s="56"/>
      <c r="N231" s="56"/>
      <c r="O231" s="56"/>
      <c r="P231" s="56"/>
      <c r="Q231" s="56"/>
      <c r="R231" s="106"/>
      <c r="S231" s="56"/>
      <c r="Y231" s="4"/>
      <c r="AI231" s="5"/>
    </row>
    <row r="232" spans="2:35" ht="12.75" hidden="1" customHeight="1" outlineLevel="2" x14ac:dyDescent="0.2">
      <c r="D232" s="6"/>
      <c r="E232" s="52"/>
      <c r="F232" s="52"/>
      <c r="G232" s="52"/>
      <c r="H232" s="52"/>
      <c r="J232" s="121"/>
      <c r="K232" s="121"/>
      <c r="L232" s="136"/>
      <c r="M232" s="136"/>
      <c r="N232" s="136"/>
      <c r="O232" s="56"/>
      <c r="P232" s="56"/>
      <c r="Q232" s="56"/>
      <c r="R232" s="106"/>
      <c r="S232" s="56"/>
      <c r="Y232" s="4"/>
      <c r="AI232" s="5"/>
    </row>
    <row r="233" spans="2:35" ht="12.75" hidden="1" customHeight="1" outlineLevel="2" x14ac:dyDescent="0.2">
      <c r="D233" s="6"/>
      <c r="E233" s="52"/>
      <c r="F233" s="52"/>
      <c r="G233" s="52"/>
      <c r="H233" s="52"/>
      <c r="O233" s="121"/>
      <c r="P233" s="121"/>
      <c r="Q233" s="121"/>
      <c r="R233" s="101"/>
      <c r="S233" s="121"/>
      <c r="Y233" s="4"/>
      <c r="AI233" s="5"/>
    </row>
    <row r="234" spans="2:35" ht="12.75" hidden="1" customHeight="1" outlineLevel="2" x14ac:dyDescent="0.2">
      <c r="D234" s="6"/>
      <c r="E234" s="52"/>
      <c r="F234" s="52"/>
      <c r="G234" s="52"/>
      <c r="H234" s="52"/>
      <c r="O234" s="56"/>
      <c r="P234" s="56"/>
      <c r="Q234" s="56"/>
      <c r="R234" s="100"/>
      <c r="Y234" s="4"/>
      <c r="AI234" s="5"/>
    </row>
    <row r="235" spans="2:35" ht="12.75" hidden="1" customHeight="1" outlineLevel="2" x14ac:dyDescent="0.2">
      <c r="O235" s="56"/>
      <c r="P235" s="133"/>
      <c r="Q235" s="56"/>
      <c r="R235" s="135"/>
      <c r="Y235" s="4"/>
      <c r="AI235" s="5"/>
    </row>
    <row r="236" spans="2:35" ht="12.75" hidden="1" customHeight="1" outlineLevel="2" x14ac:dyDescent="0.2">
      <c r="J236" s="60"/>
      <c r="K236" s="60"/>
      <c r="L236" s="122"/>
      <c r="M236" s="122"/>
      <c r="N236" s="122"/>
      <c r="O236" s="122"/>
      <c r="P236" s="122"/>
      <c r="Q236" s="122"/>
      <c r="R236" s="110"/>
      <c r="S236" s="122"/>
      <c r="T236" s="10"/>
      <c r="V236" s="13"/>
      <c r="Y236" s="36"/>
      <c r="Z236" s="13"/>
      <c r="AA236" s="13"/>
      <c r="AB236" s="13"/>
      <c r="AC236" s="13"/>
      <c r="AE236" s="30"/>
      <c r="AF236" s="10"/>
      <c r="AG236" s="10"/>
      <c r="AH236" s="10"/>
      <c r="AI236" s="37"/>
    </row>
    <row r="237" spans="2:35" ht="12.75" hidden="1" customHeight="1" outlineLevel="2" x14ac:dyDescent="0.2">
      <c r="J237" s="60"/>
      <c r="K237" s="60"/>
      <c r="L237" s="122"/>
      <c r="M237" s="122"/>
      <c r="N237" s="122"/>
      <c r="O237" s="122"/>
      <c r="P237" s="122"/>
      <c r="Q237" s="122"/>
      <c r="R237" s="110"/>
      <c r="S237" s="122"/>
      <c r="T237" s="10"/>
      <c r="V237" s="13"/>
      <c r="W237" s="17"/>
      <c r="Y237" s="36"/>
      <c r="Z237" s="13"/>
      <c r="AA237" s="13"/>
      <c r="AB237" s="13"/>
      <c r="AC237" s="13"/>
      <c r="AE237" s="30"/>
      <c r="AF237" s="10"/>
      <c r="AG237" s="10"/>
      <c r="AH237" s="10"/>
      <c r="AI237" s="37"/>
    </row>
    <row r="238" spans="2:35" ht="12.75" hidden="1" customHeight="1" outlineLevel="2" x14ac:dyDescent="0.2">
      <c r="D238" s="6"/>
      <c r="E238" s="52"/>
      <c r="G238" s="52"/>
      <c r="H238" s="52"/>
      <c r="J238" s="60"/>
      <c r="K238" s="60"/>
      <c r="L238" s="122"/>
      <c r="M238" s="122"/>
      <c r="N238" s="122"/>
      <c r="O238" s="122"/>
      <c r="P238" s="122"/>
      <c r="Q238" s="122"/>
      <c r="R238" s="110"/>
      <c r="S238" s="122"/>
      <c r="T238" s="10"/>
      <c r="V238" s="13"/>
      <c r="Y238" s="39"/>
      <c r="Z238" s="40"/>
      <c r="AA238" s="40"/>
      <c r="AB238" s="40"/>
      <c r="AC238" s="40"/>
      <c r="AD238" s="9"/>
      <c r="AE238" s="41"/>
      <c r="AF238" s="42"/>
      <c r="AG238" s="42"/>
      <c r="AH238" s="42"/>
      <c r="AI238" s="43"/>
    </row>
    <row r="239" spans="2:35" ht="12.75" hidden="1" customHeight="1" outlineLevel="2" x14ac:dyDescent="0.2">
      <c r="J239" s="123"/>
      <c r="K239" s="123"/>
      <c r="L239" s="60"/>
      <c r="M239" s="60"/>
      <c r="N239" s="60"/>
      <c r="O239" s="60"/>
      <c r="P239" s="60"/>
      <c r="Q239" s="60"/>
      <c r="R239" s="103"/>
      <c r="S239" s="63"/>
    </row>
    <row r="240" spans="2:35" ht="12.75" hidden="1" customHeight="1" outlineLevel="2" x14ac:dyDescent="0.2">
      <c r="J240" s="123"/>
      <c r="K240" s="123"/>
      <c r="L240" s="63"/>
      <c r="M240" s="63"/>
      <c r="N240" s="63"/>
      <c r="O240" s="63"/>
      <c r="P240" s="63"/>
      <c r="Q240" s="63"/>
      <c r="R240" s="118"/>
      <c r="S240" s="63"/>
    </row>
    <row r="241" spans="1:35" ht="13.5" hidden="1" customHeight="1" outlineLevel="2" thickBot="1" x14ac:dyDescent="0.25">
      <c r="J241" s="47"/>
      <c r="K241" s="63" t="s">
        <v>96</v>
      </c>
      <c r="L241" s="63">
        <f>L240</f>
        <v>0</v>
      </c>
      <c r="M241" s="63">
        <f>((M239*(1+Q$10))-$L$8)/$L$8</f>
        <v>-1</v>
      </c>
      <c r="N241" s="63">
        <f>((N239*(1+R$10))-$L$8)/$L$8</f>
        <v>-1</v>
      </c>
      <c r="O241" s="63"/>
      <c r="P241" s="63"/>
      <c r="Q241" s="63"/>
      <c r="R241" s="63"/>
      <c r="S241" s="63"/>
    </row>
    <row r="242" spans="1:35" hidden="1" outlineLevel="2" x14ac:dyDescent="0.2">
      <c r="J242" s="47"/>
      <c r="K242" s="47"/>
      <c r="L242" s="63"/>
      <c r="M242" s="63"/>
      <c r="O242" s="63"/>
    </row>
    <row r="243" spans="1:35" hidden="1" outlineLevel="2" x14ac:dyDescent="0.2">
      <c r="A243" s="44" t="s">
        <v>116</v>
      </c>
      <c r="B243" s="232" t="s">
        <v>117</v>
      </c>
      <c r="C243" s="233"/>
      <c r="D243" s="233"/>
      <c r="O243" s="12" t="s">
        <v>118</v>
      </c>
      <c r="R243" s="111"/>
      <c r="Y243" s="35"/>
      <c r="Z243" s="2"/>
      <c r="AA243" s="2"/>
      <c r="AB243" s="2"/>
      <c r="AC243" s="2"/>
      <c r="AD243" s="2"/>
      <c r="AE243" s="2"/>
      <c r="AF243" s="2"/>
      <c r="AG243" s="2"/>
      <c r="AH243" s="2"/>
      <c r="AI243" s="3"/>
    </row>
    <row r="244" spans="1:35" hidden="1" outlineLevel="2" x14ac:dyDescent="0.2">
      <c r="D244" t="s">
        <v>67</v>
      </c>
      <c r="E244" s="12" t="s">
        <v>68</v>
      </c>
      <c r="F244" s="12" t="s">
        <v>69</v>
      </c>
      <c r="G244" s="12" t="s">
        <v>70</v>
      </c>
      <c r="H244" s="12" t="s">
        <v>71</v>
      </c>
      <c r="J244" s="56" t="s">
        <v>105</v>
      </c>
      <c r="K244" s="56" t="s">
        <v>106</v>
      </c>
      <c r="L244" s="56" t="s">
        <v>107</v>
      </c>
      <c r="M244" s="56" t="s">
        <v>107</v>
      </c>
      <c r="N244" s="56" t="s">
        <v>107</v>
      </c>
      <c r="O244" s="56"/>
      <c r="P244" s="56"/>
      <c r="Q244" s="56"/>
      <c r="R244" s="106"/>
      <c r="S244" s="56"/>
      <c r="Y244" s="4"/>
      <c r="AI244" s="5"/>
    </row>
    <row r="245" spans="1:35" ht="25.5" hidden="1" outlineLevel="2" x14ac:dyDescent="0.2">
      <c r="B245" t="s">
        <v>108</v>
      </c>
      <c r="C245" t="s">
        <v>109</v>
      </c>
      <c r="D245" s="6" t="s">
        <v>119</v>
      </c>
      <c r="E245" s="6" t="s">
        <v>119</v>
      </c>
      <c r="F245" s="6" t="s">
        <v>119</v>
      </c>
      <c r="G245" s="6" t="s">
        <v>119</v>
      </c>
      <c r="H245" s="6" t="s">
        <v>119</v>
      </c>
      <c r="J245" s="121" t="s">
        <v>111</v>
      </c>
      <c r="K245" s="121" t="s">
        <v>111</v>
      </c>
      <c r="L245" s="136" t="s">
        <v>112</v>
      </c>
      <c r="M245" s="136" t="s">
        <v>111</v>
      </c>
      <c r="N245" s="136" t="s">
        <v>111</v>
      </c>
      <c r="O245" s="121"/>
      <c r="P245" s="121"/>
      <c r="Q245" s="121"/>
      <c r="R245" s="101"/>
      <c r="S245" s="121"/>
      <c r="Y245" s="4"/>
      <c r="AI245" s="5"/>
    </row>
    <row r="246" spans="1:35" hidden="1" outlineLevel="2" x14ac:dyDescent="0.2">
      <c r="B246" t="s">
        <v>113</v>
      </c>
      <c r="C246" t="s">
        <v>114</v>
      </c>
      <c r="D246" s="6" t="s">
        <v>119</v>
      </c>
      <c r="E246" s="6" t="s">
        <v>119</v>
      </c>
      <c r="F246" s="6" t="s">
        <v>119</v>
      </c>
      <c r="G246" s="6" t="s">
        <v>119</v>
      </c>
      <c r="H246" s="6" t="s">
        <v>119</v>
      </c>
      <c r="L246" s="12" t="s">
        <v>9</v>
      </c>
      <c r="M246" s="12" t="s">
        <v>10</v>
      </c>
      <c r="N246" s="12" t="s">
        <v>115</v>
      </c>
      <c r="O246" s="56"/>
      <c r="P246" s="56"/>
      <c r="Q246" s="56"/>
      <c r="R246" s="100"/>
      <c r="Y246" s="4"/>
      <c r="AI246" s="5"/>
    </row>
    <row r="247" spans="1:35" hidden="1" outlineLevel="2" x14ac:dyDescent="0.2">
      <c r="O247" s="56"/>
      <c r="P247" s="133"/>
      <c r="Q247" s="56"/>
      <c r="R247" s="135"/>
      <c r="Y247" s="4"/>
      <c r="AI247" s="5"/>
    </row>
    <row r="248" spans="1:35" hidden="1" outlineLevel="2" x14ac:dyDescent="0.2">
      <c r="B248" t="s">
        <v>72</v>
      </c>
      <c r="D248">
        <v>1.25</v>
      </c>
      <c r="E248" s="12">
        <v>1.25</v>
      </c>
      <c r="F248" s="12">
        <v>1.25</v>
      </c>
      <c r="G248" s="12">
        <v>1.25</v>
      </c>
      <c r="H248" s="12">
        <v>1.25</v>
      </c>
      <c r="J248" s="60">
        <f>(SUM(D248:I248)*J$11)</f>
        <v>250</v>
      </c>
      <c r="K248" s="60">
        <f>(5*10.5*K$11)</f>
        <v>630</v>
      </c>
      <c r="L248" s="122">
        <f>K248+J248</f>
        <v>880</v>
      </c>
      <c r="M248" s="122">
        <f>J248+8*10.5*5</f>
        <v>670</v>
      </c>
      <c r="N248" s="122">
        <f>J248</f>
        <v>250</v>
      </c>
      <c r="O248" s="122"/>
      <c r="P248" s="122"/>
      <c r="Q248" s="122"/>
      <c r="R248" s="110"/>
      <c r="S248" s="122"/>
      <c r="T248" s="10"/>
      <c r="V248" s="13"/>
      <c r="Y248" s="36"/>
      <c r="Z248" s="13"/>
      <c r="AA248" s="13"/>
      <c r="AB248" s="13"/>
      <c r="AC248" s="13"/>
      <c r="AE248" s="30"/>
      <c r="AF248" s="10"/>
      <c r="AG248" s="10"/>
      <c r="AH248" s="10"/>
      <c r="AI248" s="37"/>
    </row>
    <row r="249" spans="1:35" hidden="1" outlineLevel="2" x14ac:dyDescent="0.2">
      <c r="B249" t="s">
        <v>73</v>
      </c>
      <c r="D249">
        <f>D248+D250</f>
        <v>5</v>
      </c>
      <c r="E249" s="12">
        <f>E248+E250</f>
        <v>5</v>
      </c>
      <c r="F249" s="12">
        <f>F248+F250</f>
        <v>5</v>
      </c>
      <c r="G249" s="12">
        <f>G248+G250</f>
        <v>5</v>
      </c>
      <c r="H249" s="12">
        <f>H248+H250</f>
        <v>5</v>
      </c>
      <c r="J249" s="60">
        <f>J248+J250</f>
        <v>1000</v>
      </c>
      <c r="K249" s="60">
        <f>K248</f>
        <v>630</v>
      </c>
      <c r="L249" s="122">
        <f>K249+J249</f>
        <v>1630</v>
      </c>
      <c r="M249" s="122">
        <f>J249+8*10.5*5</f>
        <v>1420</v>
      </c>
      <c r="N249" s="122">
        <f>J249</f>
        <v>1000</v>
      </c>
      <c r="O249" s="122"/>
      <c r="P249" s="122"/>
      <c r="Q249" s="122"/>
      <c r="R249" s="110"/>
      <c r="S249" s="122"/>
      <c r="T249" s="10"/>
      <c r="V249" s="13"/>
      <c r="W249" s="17"/>
      <c r="Y249" s="36"/>
      <c r="Z249" s="13"/>
      <c r="AA249" s="13"/>
      <c r="AB249" s="13"/>
      <c r="AC249" s="13"/>
      <c r="AE249" s="30"/>
      <c r="AF249" s="10"/>
      <c r="AG249" s="10"/>
      <c r="AH249" s="10"/>
      <c r="AI249" s="37"/>
    </row>
    <row r="250" spans="1:35" hidden="1" outlineLevel="2" x14ac:dyDescent="0.2">
      <c r="B250" t="s">
        <v>74</v>
      </c>
      <c r="D250" s="6">
        <v>3.75</v>
      </c>
      <c r="E250" s="6">
        <v>3.75</v>
      </c>
      <c r="F250" s="6">
        <v>3.75</v>
      </c>
      <c r="G250" s="6">
        <v>3.75</v>
      </c>
      <c r="H250" s="6">
        <v>3.75</v>
      </c>
      <c r="J250" s="60">
        <f>(SUM(D250:I250)*J$11)</f>
        <v>750</v>
      </c>
      <c r="K250" s="60">
        <f>(5*10.5*K$11)</f>
        <v>630</v>
      </c>
      <c r="L250" s="122">
        <f>K250+J250</f>
        <v>1380</v>
      </c>
      <c r="M250" s="122">
        <f>J250+8*10.5*5</f>
        <v>1170</v>
      </c>
      <c r="N250" s="122">
        <f>J250</f>
        <v>750</v>
      </c>
      <c r="O250" s="122"/>
      <c r="P250" s="122"/>
      <c r="Q250" s="122"/>
      <c r="R250" s="110"/>
      <c r="S250" s="122"/>
      <c r="T250" s="10"/>
      <c r="V250" s="13"/>
      <c r="Y250" s="36"/>
      <c r="Z250" s="13"/>
      <c r="AA250" s="13"/>
      <c r="AB250" s="13"/>
      <c r="AC250" s="13"/>
      <c r="AE250" s="30"/>
      <c r="AF250" s="10"/>
      <c r="AG250" s="10"/>
      <c r="AH250" s="10"/>
      <c r="AI250" s="37"/>
    </row>
    <row r="251" spans="1:35" hidden="1" outlineLevel="2" x14ac:dyDescent="0.2">
      <c r="J251" s="123"/>
      <c r="K251" s="123" t="s">
        <v>75</v>
      </c>
      <c r="L251" s="60">
        <f t="shared" ref="L251" si="10">10%*L248+20%*L249+70%*L250</f>
        <v>1380</v>
      </c>
      <c r="M251" s="60">
        <f>10%*M248+20%*M249+70%*M250</f>
        <v>1170</v>
      </c>
      <c r="N251" s="60">
        <f>10%*N248+20%*N249+70%*N250</f>
        <v>750</v>
      </c>
      <c r="O251" s="60"/>
      <c r="P251" s="60"/>
      <c r="Q251" s="60"/>
      <c r="R251" s="103"/>
      <c r="S251" s="63"/>
      <c r="Y251" s="8"/>
      <c r="Z251" s="9"/>
      <c r="AA251" s="9"/>
      <c r="AB251" s="9"/>
      <c r="AC251" s="9"/>
      <c r="AD251" s="9"/>
      <c r="AE251" s="9"/>
      <c r="AF251" s="9"/>
      <c r="AG251" s="9"/>
      <c r="AH251" s="9"/>
      <c r="AI251" s="38"/>
    </row>
    <row r="252" spans="1:35" hidden="1" outlineLevel="2" x14ac:dyDescent="0.2">
      <c r="J252" s="123"/>
      <c r="K252" s="123" t="s">
        <v>95</v>
      </c>
      <c r="L252" s="63">
        <f>(L251-L$8)/L$8</f>
        <v>8.771929824561403E-3</v>
      </c>
      <c r="M252" s="63">
        <f>(M251-L$8)/L$8</f>
        <v>-0.14473684210526316</v>
      </c>
      <c r="N252" s="63">
        <f>(N251-L$8)/L$8</f>
        <v>-0.4517543859649123</v>
      </c>
      <c r="O252" s="63"/>
      <c r="P252" s="63"/>
      <c r="Q252" s="63"/>
      <c r="R252" s="118"/>
      <c r="S252" s="63"/>
    </row>
    <row r="253" spans="1:35" hidden="1" outlineLevel="2" x14ac:dyDescent="0.2">
      <c r="J253" s="47"/>
      <c r="K253" s="63" t="s">
        <v>96</v>
      </c>
      <c r="L253" s="63">
        <f>L252</f>
        <v>8.771929824561403E-3</v>
      </c>
      <c r="M253" s="63">
        <f>((M251*(1+Q$10))-$L$8)/$L$8</f>
        <v>-0.14473684210526316</v>
      </c>
      <c r="N253" s="63">
        <f>((N251*(1+R$10))-$L$8)/$L$8</f>
        <v>-0.4517543859649123</v>
      </c>
      <c r="O253" s="63"/>
      <c r="P253" s="63"/>
      <c r="Q253" s="63"/>
      <c r="R253" s="63"/>
      <c r="S253" s="63"/>
    </row>
    <row r="254" spans="1:35" hidden="1" outlineLevel="2" x14ac:dyDescent="0.2"/>
    <row r="255" spans="1:35" hidden="1" outlineLevel="2" x14ac:dyDescent="0.2">
      <c r="A255" s="44"/>
      <c r="B255" s="232"/>
      <c r="C255" s="233"/>
      <c r="D255" s="233"/>
      <c r="R255" s="111"/>
      <c r="Y255" s="35"/>
      <c r="Z255" s="2"/>
      <c r="AA255" s="2"/>
      <c r="AB255" s="2"/>
      <c r="AC255" s="2"/>
      <c r="AD255" s="2"/>
      <c r="AE255" s="2"/>
      <c r="AF255" s="2"/>
      <c r="AG255" s="2"/>
      <c r="AH255" s="2"/>
      <c r="AI255" s="3"/>
    </row>
    <row r="256" spans="1:35" hidden="1" outlineLevel="2" x14ac:dyDescent="0.2">
      <c r="J256" s="56"/>
      <c r="K256" s="56"/>
      <c r="L256" s="56"/>
      <c r="M256" s="56"/>
      <c r="N256" s="56"/>
      <c r="O256" s="56"/>
      <c r="P256" s="56"/>
      <c r="Q256" s="56"/>
      <c r="R256" s="106"/>
      <c r="S256" s="56"/>
      <c r="Y256" s="4"/>
      <c r="AI256" s="5"/>
    </row>
    <row r="257" spans="1:35" hidden="1" outlineLevel="2" x14ac:dyDescent="0.2">
      <c r="D257" s="6"/>
      <c r="E257" s="6"/>
      <c r="F257" s="6"/>
      <c r="G257" s="6"/>
      <c r="H257" s="6"/>
      <c r="J257" s="121"/>
      <c r="K257" s="121"/>
      <c r="L257" s="136"/>
      <c r="M257" s="136"/>
      <c r="N257" s="136"/>
      <c r="O257" s="121"/>
      <c r="P257" s="121"/>
      <c r="Q257" s="121"/>
      <c r="R257" s="101"/>
      <c r="S257" s="121"/>
      <c r="Y257" s="4"/>
      <c r="AI257" s="5"/>
    </row>
    <row r="258" spans="1:35" hidden="1" outlineLevel="2" x14ac:dyDescent="0.2">
      <c r="D258" s="6"/>
      <c r="E258" s="6"/>
      <c r="F258" s="6"/>
      <c r="G258" s="6"/>
      <c r="H258" s="6"/>
      <c r="O258" s="56"/>
      <c r="P258" s="56"/>
      <c r="Q258" s="56"/>
      <c r="R258" s="100"/>
      <c r="Y258" s="4"/>
      <c r="AI258" s="5"/>
    </row>
    <row r="259" spans="1:35" hidden="1" outlineLevel="2" x14ac:dyDescent="0.2">
      <c r="O259" s="56"/>
      <c r="P259" s="133"/>
      <c r="Q259" s="56"/>
      <c r="R259" s="135"/>
      <c r="Y259" s="4"/>
      <c r="AI259" s="5"/>
    </row>
    <row r="260" spans="1:35" hidden="1" outlineLevel="2" x14ac:dyDescent="0.2">
      <c r="J260" s="60"/>
      <c r="K260" s="60"/>
      <c r="L260" s="122"/>
      <c r="M260" s="122"/>
      <c r="N260" s="122"/>
      <c r="O260" s="122"/>
      <c r="P260" s="122"/>
      <c r="Q260" s="122"/>
      <c r="R260" s="110"/>
      <c r="S260" s="122"/>
      <c r="T260" s="10"/>
      <c r="V260" s="13"/>
      <c r="Y260" s="36"/>
      <c r="Z260" s="13"/>
      <c r="AA260" s="13"/>
      <c r="AB260" s="13"/>
      <c r="AC260" s="13"/>
      <c r="AE260" s="30"/>
      <c r="AF260" s="10"/>
      <c r="AG260" s="10"/>
      <c r="AH260" s="10"/>
      <c r="AI260" s="37"/>
    </row>
    <row r="261" spans="1:35" hidden="1" outlineLevel="2" x14ac:dyDescent="0.2">
      <c r="J261" s="60"/>
      <c r="K261" s="60"/>
      <c r="L261" s="122"/>
      <c r="M261" s="122"/>
      <c r="N261" s="122"/>
      <c r="O261" s="122"/>
      <c r="P261" s="122"/>
      <c r="Q261" s="122"/>
      <c r="R261" s="110"/>
      <c r="S261" s="122"/>
      <c r="T261" s="10"/>
      <c r="V261" s="13"/>
      <c r="W261" s="17"/>
      <c r="Y261" s="36"/>
      <c r="Z261" s="13"/>
      <c r="AA261" s="13"/>
      <c r="AB261" s="13"/>
      <c r="AC261" s="13"/>
      <c r="AE261" s="30"/>
      <c r="AF261" s="10"/>
      <c r="AG261" s="10"/>
      <c r="AH261" s="10"/>
      <c r="AI261" s="37"/>
    </row>
    <row r="262" spans="1:35" hidden="1" outlineLevel="2" x14ac:dyDescent="0.2">
      <c r="D262" s="6"/>
      <c r="E262" s="6"/>
      <c r="F262" s="6"/>
      <c r="G262" s="6"/>
      <c r="H262" s="6"/>
      <c r="J262" s="60"/>
      <c r="K262" s="60"/>
      <c r="L262" s="122"/>
      <c r="M262" s="122"/>
      <c r="N262" s="122"/>
      <c r="O262" s="122"/>
      <c r="P262" s="122"/>
      <c r="Q262" s="122"/>
      <c r="R262" s="110"/>
      <c r="S262" s="122"/>
      <c r="T262" s="10"/>
      <c r="V262" s="13"/>
      <c r="Y262" s="36"/>
      <c r="Z262" s="13"/>
      <c r="AA262" s="13"/>
      <c r="AB262" s="13"/>
      <c r="AC262" s="13"/>
      <c r="AE262" s="30"/>
      <c r="AF262" s="10"/>
      <c r="AG262" s="10"/>
      <c r="AH262" s="10"/>
      <c r="AI262" s="37"/>
    </row>
    <row r="263" spans="1:35" hidden="1" outlineLevel="2" x14ac:dyDescent="0.2">
      <c r="J263" s="123"/>
      <c r="K263" s="123"/>
      <c r="L263" s="60"/>
      <c r="M263" s="60"/>
      <c r="N263" s="60"/>
      <c r="O263" s="60"/>
      <c r="P263" s="60"/>
      <c r="Q263" s="60"/>
      <c r="R263" s="103"/>
      <c r="S263" s="63"/>
      <c r="Y263" s="8"/>
      <c r="Z263" s="9"/>
      <c r="AA263" s="9"/>
      <c r="AB263" s="9"/>
      <c r="AC263" s="9"/>
      <c r="AD263" s="9"/>
      <c r="AE263" s="9"/>
      <c r="AF263" s="9"/>
      <c r="AG263" s="9"/>
      <c r="AH263" s="9"/>
      <c r="AI263" s="38"/>
    </row>
    <row r="264" spans="1:35" hidden="1" outlineLevel="2" x14ac:dyDescent="0.2">
      <c r="J264" s="123"/>
      <c r="K264" s="123"/>
      <c r="L264" s="63"/>
      <c r="M264" s="63"/>
      <c r="N264" s="63"/>
      <c r="O264" s="63"/>
      <c r="P264" s="63"/>
      <c r="Q264" s="63"/>
      <c r="R264" s="118"/>
      <c r="S264" s="63"/>
    </row>
    <row r="265" spans="1:35" hidden="1" outlineLevel="2" x14ac:dyDescent="0.2">
      <c r="J265" s="47"/>
      <c r="K265" s="63"/>
      <c r="L265" s="63"/>
      <c r="M265" s="63"/>
      <c r="N265" s="63"/>
      <c r="O265" s="63"/>
      <c r="P265" s="63"/>
      <c r="Q265" s="63"/>
      <c r="R265" s="63"/>
      <c r="S265" s="63"/>
    </row>
    <row r="266" spans="1:35" hidden="1" outlineLevel="2" x14ac:dyDescent="0.2"/>
    <row r="267" spans="1:35" hidden="1" outlineLevel="2" x14ac:dyDescent="0.2">
      <c r="A267" s="190" t="s">
        <v>116</v>
      </c>
      <c r="B267" s="232"/>
      <c r="C267" s="233"/>
      <c r="D267" s="233"/>
      <c r="R267" s="111"/>
      <c r="Y267" s="35"/>
      <c r="Z267" s="2"/>
      <c r="AA267" s="2"/>
      <c r="AB267" s="2"/>
      <c r="AC267" s="2"/>
      <c r="AD267" s="2"/>
      <c r="AE267" s="2"/>
      <c r="AF267" s="2"/>
      <c r="AG267" s="2"/>
      <c r="AH267" s="2"/>
      <c r="AI267" s="3"/>
    </row>
    <row r="268" spans="1:35" hidden="1" outlineLevel="2" x14ac:dyDescent="0.2">
      <c r="J268" s="56"/>
      <c r="K268" s="56"/>
      <c r="L268" s="56"/>
      <c r="M268" s="56"/>
      <c r="N268" s="56"/>
      <c r="O268" s="56"/>
      <c r="P268" s="56"/>
      <c r="Q268" s="56"/>
      <c r="R268" s="106"/>
      <c r="S268" s="56"/>
      <c r="Y268" s="4"/>
      <c r="AI268" s="5"/>
    </row>
    <row r="269" spans="1:35" hidden="1" outlineLevel="2" x14ac:dyDescent="0.2">
      <c r="D269" s="6"/>
      <c r="E269" s="52"/>
      <c r="F269" s="52"/>
      <c r="G269" s="52"/>
      <c r="H269" s="52"/>
      <c r="J269" s="121"/>
      <c r="K269" s="121"/>
      <c r="L269" s="136"/>
      <c r="M269" s="136"/>
      <c r="N269" s="136"/>
      <c r="O269" s="121"/>
      <c r="P269" s="121"/>
      <c r="Q269" s="121"/>
      <c r="R269" s="101"/>
      <c r="S269" s="121"/>
      <c r="Y269" s="4"/>
      <c r="AI269" s="5"/>
    </row>
    <row r="270" spans="1:35" hidden="1" outlineLevel="2" x14ac:dyDescent="0.2">
      <c r="D270" s="6"/>
      <c r="E270" s="52"/>
      <c r="F270" s="52"/>
      <c r="G270" s="52"/>
      <c r="H270" s="52"/>
      <c r="O270" s="56"/>
      <c r="P270" s="56"/>
      <c r="Q270" s="56"/>
      <c r="R270" s="100"/>
      <c r="Y270" s="4"/>
      <c r="AI270" s="5"/>
    </row>
    <row r="271" spans="1:35" hidden="1" outlineLevel="2" x14ac:dyDescent="0.2">
      <c r="O271" s="56"/>
      <c r="P271" s="133"/>
      <c r="Q271" s="56"/>
      <c r="R271" s="135"/>
      <c r="Y271" s="4"/>
      <c r="AI271" s="5"/>
    </row>
    <row r="272" spans="1:35" hidden="1" outlineLevel="2" x14ac:dyDescent="0.2">
      <c r="J272" s="60"/>
      <c r="K272" s="60"/>
      <c r="L272" s="122"/>
      <c r="M272" s="122"/>
      <c r="N272" s="122"/>
      <c r="O272" s="122"/>
      <c r="P272" s="122"/>
      <c r="Q272" s="122"/>
      <c r="R272" s="110"/>
      <c r="S272" s="122"/>
      <c r="T272" s="10"/>
      <c r="V272" s="13"/>
      <c r="Y272" s="36"/>
      <c r="Z272" s="13"/>
      <c r="AA272" s="13"/>
      <c r="AB272" s="13"/>
      <c r="AC272" s="13"/>
      <c r="AE272" s="30"/>
      <c r="AF272" s="10"/>
      <c r="AG272" s="10"/>
      <c r="AH272" s="10"/>
      <c r="AI272" s="37"/>
    </row>
    <row r="273" spans="1:35" hidden="1" outlineLevel="2" x14ac:dyDescent="0.2">
      <c r="J273" s="60"/>
      <c r="K273" s="60"/>
      <c r="L273" s="122"/>
      <c r="M273" s="122"/>
      <c r="N273" s="122"/>
      <c r="O273" s="122"/>
      <c r="P273" s="122"/>
      <c r="Q273" s="122"/>
      <c r="R273" s="110"/>
      <c r="S273" s="122"/>
      <c r="T273" s="10"/>
      <c r="V273" s="13"/>
      <c r="W273" s="17"/>
      <c r="Y273" s="36"/>
      <c r="Z273" s="13"/>
      <c r="AA273" s="13"/>
      <c r="AB273" s="13"/>
      <c r="AC273" s="13"/>
      <c r="AE273" s="30"/>
      <c r="AF273" s="10"/>
      <c r="AG273" s="10"/>
      <c r="AH273" s="10"/>
      <c r="AI273" s="37"/>
    </row>
    <row r="274" spans="1:35" hidden="1" outlineLevel="2" x14ac:dyDescent="0.2">
      <c r="D274" s="6"/>
      <c r="E274" s="52"/>
      <c r="G274" s="52"/>
      <c r="H274" s="52"/>
      <c r="J274" s="60"/>
      <c r="K274" s="60"/>
      <c r="L274" s="122"/>
      <c r="M274" s="122"/>
      <c r="N274" s="122"/>
      <c r="O274" s="122"/>
      <c r="P274" s="122"/>
      <c r="Q274" s="122"/>
      <c r="R274" s="110"/>
      <c r="S274" s="122"/>
      <c r="T274" s="10"/>
      <c r="V274" s="13"/>
      <c r="Y274" s="36"/>
      <c r="Z274" s="13"/>
      <c r="AA274" s="13"/>
      <c r="AB274" s="13"/>
      <c r="AC274" s="13"/>
      <c r="AE274" s="30"/>
      <c r="AF274" s="10"/>
      <c r="AG274" s="10"/>
      <c r="AH274" s="10"/>
      <c r="AI274" s="37"/>
    </row>
    <row r="275" spans="1:35" hidden="1" outlineLevel="2" x14ac:dyDescent="0.2">
      <c r="J275" s="123"/>
      <c r="K275" s="123"/>
      <c r="L275" s="60"/>
      <c r="M275" s="60"/>
      <c r="N275" s="60"/>
      <c r="O275" s="60"/>
      <c r="P275" s="60"/>
      <c r="Q275" s="60"/>
      <c r="R275" s="103"/>
      <c r="S275" s="63"/>
      <c r="Y275" s="8"/>
      <c r="Z275" s="9"/>
      <c r="AA275" s="9"/>
      <c r="AB275" s="9"/>
      <c r="AC275" s="9"/>
      <c r="AD275" s="9"/>
      <c r="AE275" s="9"/>
      <c r="AF275" s="9"/>
      <c r="AG275" s="9"/>
      <c r="AH275" s="9"/>
      <c r="AI275" s="38"/>
    </row>
    <row r="276" spans="1:35" hidden="1" outlineLevel="2" x14ac:dyDescent="0.2">
      <c r="J276" s="123"/>
      <c r="K276" s="123"/>
      <c r="L276" s="63"/>
      <c r="M276" s="63"/>
      <c r="N276" s="63"/>
      <c r="O276" s="63"/>
      <c r="P276" s="63"/>
      <c r="Q276" s="63"/>
      <c r="R276" s="118"/>
      <c r="S276" s="63"/>
    </row>
    <row r="277" spans="1:35" hidden="1" outlineLevel="2" x14ac:dyDescent="0.2">
      <c r="J277" s="47"/>
      <c r="K277" s="63"/>
      <c r="L277" s="63"/>
      <c r="M277" s="63"/>
      <c r="N277" s="63"/>
      <c r="O277" s="63"/>
      <c r="P277" s="63"/>
      <c r="Q277" s="63"/>
      <c r="R277" s="63"/>
      <c r="S277" s="63"/>
    </row>
    <row r="278" spans="1:35" hidden="1" outlineLevel="2" x14ac:dyDescent="0.2"/>
    <row r="279" spans="1:35" hidden="1" outlineLevel="2" x14ac:dyDescent="0.2">
      <c r="A279" s="44"/>
      <c r="B279" s="233"/>
      <c r="C279" s="233"/>
      <c r="D279" s="233"/>
      <c r="R279" s="111"/>
      <c r="Y279" s="35"/>
      <c r="Z279" s="2"/>
      <c r="AA279" s="2"/>
      <c r="AB279" s="2"/>
      <c r="AC279" s="2"/>
      <c r="AD279" s="2"/>
      <c r="AE279" s="2"/>
      <c r="AF279" s="2"/>
      <c r="AG279" s="2"/>
      <c r="AH279" s="2"/>
      <c r="AI279" s="3"/>
    </row>
    <row r="280" spans="1:35" hidden="1" outlineLevel="2" x14ac:dyDescent="0.2">
      <c r="J280" s="56"/>
      <c r="K280" s="56"/>
      <c r="L280" s="56"/>
      <c r="M280" s="56"/>
      <c r="N280" s="56"/>
      <c r="O280" s="56"/>
      <c r="P280" s="56"/>
      <c r="Q280" s="56"/>
      <c r="R280" s="106"/>
      <c r="S280" s="56"/>
      <c r="Y280" s="4"/>
      <c r="AI280" s="5"/>
    </row>
    <row r="281" spans="1:35" hidden="1" outlineLevel="2" x14ac:dyDescent="0.2">
      <c r="D281" s="6"/>
      <c r="E281" s="52"/>
      <c r="F281" s="52"/>
      <c r="G281" s="52"/>
      <c r="H281" s="52"/>
      <c r="J281" s="121"/>
      <c r="K281" s="121"/>
      <c r="L281" s="136"/>
      <c r="M281" s="136"/>
      <c r="N281" s="136"/>
      <c r="O281" s="121"/>
      <c r="P281" s="121"/>
      <c r="Q281" s="121"/>
      <c r="R281" s="101"/>
      <c r="S281" s="121"/>
      <c r="Y281" s="4"/>
      <c r="AI281" s="5"/>
    </row>
    <row r="282" spans="1:35" hidden="1" outlineLevel="2" x14ac:dyDescent="0.2">
      <c r="D282" s="6"/>
      <c r="E282" s="52"/>
      <c r="F282" s="52"/>
      <c r="G282" s="52"/>
      <c r="H282" s="52"/>
      <c r="O282" s="56"/>
      <c r="P282" s="56"/>
      <c r="Q282" s="56"/>
      <c r="R282" s="100"/>
      <c r="Y282" s="4"/>
      <c r="AI282" s="5"/>
    </row>
    <row r="283" spans="1:35" hidden="1" outlineLevel="2" x14ac:dyDescent="0.2">
      <c r="O283" s="56"/>
      <c r="P283" s="133"/>
      <c r="Q283" s="56"/>
      <c r="R283" s="135"/>
      <c r="Y283" s="4"/>
      <c r="AI283" s="5"/>
    </row>
    <row r="284" spans="1:35" hidden="1" outlineLevel="2" x14ac:dyDescent="0.2">
      <c r="J284" s="60"/>
      <c r="K284" s="60"/>
      <c r="L284" s="122"/>
      <c r="M284" s="122"/>
      <c r="N284" s="122"/>
      <c r="O284" s="122"/>
      <c r="P284" s="122"/>
      <c r="Q284" s="122"/>
      <c r="R284" s="110"/>
      <c r="S284" s="122"/>
      <c r="T284" s="10"/>
      <c r="V284" s="13"/>
      <c r="Y284" s="36"/>
      <c r="Z284" s="13"/>
      <c r="AA284" s="13"/>
      <c r="AB284" s="13"/>
      <c r="AC284" s="13"/>
      <c r="AE284" s="30"/>
      <c r="AF284" s="10"/>
      <c r="AG284" s="10"/>
      <c r="AH284" s="10"/>
      <c r="AI284" s="37"/>
    </row>
    <row r="285" spans="1:35" hidden="1" outlineLevel="2" x14ac:dyDescent="0.2">
      <c r="J285" s="60"/>
      <c r="K285" s="60"/>
      <c r="L285" s="122"/>
      <c r="M285" s="122"/>
      <c r="N285" s="122"/>
      <c r="O285" s="122"/>
      <c r="P285" s="122"/>
      <c r="Q285" s="122"/>
      <c r="R285" s="110"/>
      <c r="S285" s="122"/>
      <c r="T285" s="10"/>
      <c r="V285" s="13"/>
      <c r="W285" s="17"/>
      <c r="Y285" s="36"/>
      <c r="Z285" s="13"/>
      <c r="AA285" s="13"/>
      <c r="AB285" s="13"/>
      <c r="AC285" s="13"/>
      <c r="AE285" s="30"/>
      <c r="AF285" s="10"/>
      <c r="AG285" s="10"/>
      <c r="AH285" s="10"/>
      <c r="AI285" s="37"/>
    </row>
    <row r="286" spans="1:35" hidden="1" outlineLevel="2" x14ac:dyDescent="0.2">
      <c r="D286" s="6"/>
      <c r="E286" s="52"/>
      <c r="G286" s="52"/>
      <c r="H286" s="52"/>
      <c r="J286" s="60"/>
      <c r="K286" s="60"/>
      <c r="L286" s="122"/>
      <c r="M286" s="122"/>
      <c r="N286" s="122"/>
      <c r="O286" s="122"/>
      <c r="P286" s="122"/>
      <c r="Q286" s="122"/>
      <c r="R286" s="110"/>
      <c r="S286" s="122"/>
      <c r="T286" s="10"/>
      <c r="V286" s="13"/>
      <c r="Y286" s="36"/>
      <c r="Z286" s="13"/>
      <c r="AA286" s="13"/>
      <c r="AB286" s="13"/>
      <c r="AC286" s="13"/>
      <c r="AE286" s="30"/>
      <c r="AF286" s="10"/>
      <c r="AG286" s="10"/>
      <c r="AH286" s="10"/>
      <c r="AI286" s="37"/>
    </row>
    <row r="287" spans="1:35" hidden="1" outlineLevel="2" x14ac:dyDescent="0.2">
      <c r="J287" s="123"/>
      <c r="K287" s="123"/>
      <c r="L287" s="60"/>
      <c r="M287" s="60"/>
      <c r="N287" s="60"/>
      <c r="O287" s="60"/>
      <c r="P287" s="60"/>
      <c r="Q287" s="60"/>
      <c r="R287" s="103"/>
      <c r="S287" s="63"/>
      <c r="Y287" s="8"/>
      <c r="Z287" s="9"/>
      <c r="AA287" s="9"/>
      <c r="AB287" s="9"/>
      <c r="AC287" s="9"/>
      <c r="AD287" s="9"/>
      <c r="AE287" s="9"/>
      <c r="AF287" s="9"/>
      <c r="AG287" s="9"/>
      <c r="AH287" s="9"/>
      <c r="AI287" s="38"/>
    </row>
    <row r="288" spans="1:35" hidden="1" outlineLevel="2" x14ac:dyDescent="0.2">
      <c r="J288" s="123"/>
      <c r="K288" s="123"/>
      <c r="L288" s="63"/>
      <c r="M288" s="63"/>
      <c r="N288" s="63"/>
      <c r="O288" s="63"/>
      <c r="P288" s="63"/>
      <c r="Q288" s="63"/>
      <c r="R288" s="118"/>
      <c r="S288" s="63"/>
    </row>
    <row r="289" spans="1:35" hidden="1" outlineLevel="2" x14ac:dyDescent="0.2">
      <c r="J289" s="47"/>
      <c r="K289" s="63"/>
      <c r="L289" s="63"/>
      <c r="M289" s="63"/>
      <c r="N289" s="63"/>
      <c r="O289" s="63"/>
      <c r="P289" s="63"/>
      <c r="Q289" s="63"/>
      <c r="R289" s="63"/>
      <c r="S289" s="63"/>
    </row>
    <row r="290" spans="1:35" hidden="1" outlineLevel="2" x14ac:dyDescent="0.2"/>
    <row r="291" spans="1:35" hidden="1" outlineLevel="2" x14ac:dyDescent="0.2">
      <c r="A291" s="44"/>
      <c r="B291" s="237"/>
      <c r="C291" s="238"/>
      <c r="D291" s="238"/>
      <c r="R291" s="111"/>
      <c r="Y291" s="35"/>
      <c r="Z291" s="2"/>
      <c r="AA291" s="2"/>
      <c r="AB291" s="2"/>
      <c r="AC291" s="2"/>
      <c r="AD291" s="2"/>
      <c r="AE291" s="2"/>
      <c r="AF291" s="2"/>
      <c r="AG291" s="2"/>
      <c r="AH291" s="2"/>
      <c r="AI291" s="3"/>
    </row>
    <row r="292" spans="1:35" hidden="1" outlineLevel="2" x14ac:dyDescent="0.2">
      <c r="J292" s="56"/>
      <c r="K292" s="56"/>
      <c r="L292" s="56"/>
      <c r="M292" s="56"/>
      <c r="N292" s="56"/>
      <c r="O292" s="56"/>
      <c r="P292" s="56"/>
      <c r="Q292" s="56"/>
      <c r="R292" s="106"/>
      <c r="S292" s="56"/>
      <c r="Y292" s="4"/>
      <c r="AI292" s="5"/>
    </row>
    <row r="293" spans="1:35" hidden="1" outlineLevel="2" x14ac:dyDescent="0.2">
      <c r="D293" s="6"/>
      <c r="E293" s="52"/>
      <c r="F293" s="52"/>
      <c r="G293" s="52"/>
      <c r="H293" s="52"/>
      <c r="J293" s="121"/>
      <c r="K293" s="121"/>
      <c r="L293" s="136"/>
      <c r="M293" s="136"/>
      <c r="N293" s="136"/>
      <c r="O293" s="121"/>
      <c r="P293" s="121"/>
      <c r="Q293" s="121"/>
      <c r="R293" s="101"/>
      <c r="S293" s="121"/>
      <c r="Y293" s="4"/>
      <c r="AI293" s="5"/>
    </row>
    <row r="294" spans="1:35" hidden="1" outlineLevel="2" x14ac:dyDescent="0.2">
      <c r="D294" s="6"/>
      <c r="E294" s="52"/>
      <c r="F294" s="52"/>
      <c r="G294" s="52"/>
      <c r="H294" s="52"/>
      <c r="O294" s="56"/>
      <c r="P294" s="56"/>
      <c r="Q294" s="56"/>
      <c r="R294" s="100"/>
      <c r="Y294" s="4"/>
      <c r="AI294" s="5"/>
    </row>
    <row r="295" spans="1:35" hidden="1" outlineLevel="2" x14ac:dyDescent="0.2">
      <c r="O295" s="56"/>
      <c r="P295" s="133"/>
      <c r="Q295" s="56"/>
      <c r="R295" s="135"/>
      <c r="Y295" s="4"/>
      <c r="AI295" s="5"/>
    </row>
    <row r="296" spans="1:35" hidden="1" outlineLevel="2" x14ac:dyDescent="0.2">
      <c r="J296" s="60"/>
      <c r="K296" s="60"/>
      <c r="L296" s="122"/>
      <c r="M296" s="122"/>
      <c r="N296" s="122"/>
      <c r="O296" s="122"/>
      <c r="P296" s="122"/>
      <c r="Q296" s="122"/>
      <c r="R296" s="110"/>
      <c r="S296" s="122"/>
      <c r="T296" s="10"/>
      <c r="V296" s="13"/>
      <c r="Y296" s="36"/>
      <c r="Z296" s="13"/>
      <c r="AA296" s="13"/>
      <c r="AB296" s="13"/>
      <c r="AC296" s="13"/>
      <c r="AE296" s="30"/>
      <c r="AF296" s="10"/>
      <c r="AG296" s="10"/>
      <c r="AH296" s="10"/>
      <c r="AI296" s="37"/>
    </row>
    <row r="297" spans="1:35" hidden="1" outlineLevel="2" x14ac:dyDescent="0.2">
      <c r="J297" s="60"/>
      <c r="K297" s="60"/>
      <c r="L297" s="122"/>
      <c r="M297" s="122"/>
      <c r="N297" s="122"/>
      <c r="O297" s="122"/>
      <c r="P297" s="122"/>
      <c r="Q297" s="122"/>
      <c r="R297" s="110"/>
      <c r="S297" s="122"/>
      <c r="T297" s="10"/>
      <c r="V297" s="13"/>
      <c r="W297" s="17"/>
      <c r="Y297" s="36"/>
      <c r="Z297" s="13"/>
      <c r="AA297" s="13"/>
      <c r="AB297" s="13"/>
      <c r="AC297" s="13"/>
      <c r="AE297" s="30"/>
      <c r="AF297" s="10"/>
      <c r="AG297" s="10"/>
      <c r="AH297" s="10"/>
      <c r="AI297" s="37"/>
    </row>
    <row r="298" spans="1:35" hidden="1" outlineLevel="2" x14ac:dyDescent="0.2">
      <c r="D298" s="6"/>
      <c r="E298" s="52"/>
      <c r="G298" s="52"/>
      <c r="H298" s="52"/>
      <c r="J298" s="60"/>
      <c r="K298" s="60"/>
      <c r="L298" s="122"/>
      <c r="M298" s="122"/>
      <c r="N298" s="122"/>
      <c r="O298" s="122"/>
      <c r="P298" s="122"/>
      <c r="Q298" s="122"/>
      <c r="R298" s="110"/>
      <c r="S298" s="122"/>
      <c r="T298" s="10"/>
      <c r="V298" s="13"/>
      <c r="Y298" s="36"/>
      <c r="Z298" s="13"/>
      <c r="AA298" s="13"/>
      <c r="AB298" s="13"/>
      <c r="AC298" s="13"/>
      <c r="AE298" s="30"/>
      <c r="AF298" s="10"/>
      <c r="AG298" s="10"/>
      <c r="AH298" s="10"/>
      <c r="AI298" s="37"/>
    </row>
    <row r="299" spans="1:35" hidden="1" outlineLevel="2" x14ac:dyDescent="0.2">
      <c r="J299" s="123"/>
      <c r="K299" s="123"/>
      <c r="L299" s="60"/>
      <c r="M299" s="60"/>
      <c r="N299" s="60"/>
      <c r="O299" s="60"/>
      <c r="P299" s="60"/>
      <c r="Q299" s="60"/>
      <c r="R299" s="103"/>
      <c r="S299" s="63"/>
      <c r="Y299" s="8"/>
      <c r="Z299" s="9"/>
      <c r="AA299" s="9"/>
      <c r="AB299" s="9"/>
      <c r="AC299" s="9"/>
      <c r="AD299" s="9"/>
      <c r="AE299" s="9"/>
      <c r="AF299" s="9"/>
      <c r="AG299" s="9"/>
      <c r="AH299" s="9"/>
      <c r="AI299" s="38"/>
    </row>
    <row r="300" spans="1:35" hidden="1" outlineLevel="2" x14ac:dyDescent="0.2">
      <c r="J300" s="123"/>
      <c r="K300" s="123"/>
      <c r="L300" s="63"/>
      <c r="M300" s="63"/>
      <c r="N300" s="63"/>
      <c r="O300" s="63"/>
      <c r="P300" s="63"/>
      <c r="Q300" s="63"/>
      <c r="R300" s="118"/>
      <c r="S300" s="63"/>
    </row>
    <row r="301" spans="1:35" hidden="1" outlineLevel="2" x14ac:dyDescent="0.2">
      <c r="J301" s="47"/>
      <c r="K301" s="63"/>
      <c r="L301" s="63"/>
      <c r="M301" s="63"/>
      <c r="N301" s="63"/>
      <c r="O301" s="63"/>
      <c r="P301" s="63"/>
      <c r="Q301" s="63"/>
      <c r="R301" s="63"/>
      <c r="S301" s="63"/>
    </row>
    <row r="302" spans="1:35" hidden="1" outlineLevel="2" x14ac:dyDescent="0.2">
      <c r="J302" s="239"/>
    </row>
    <row r="303" spans="1:35" hidden="1" outlineLevel="2" x14ac:dyDescent="0.2">
      <c r="A303" s="44"/>
      <c r="B303" s="238"/>
      <c r="C303" s="238"/>
      <c r="D303" s="238"/>
      <c r="R303" s="111"/>
      <c r="Y303" s="35"/>
      <c r="Z303" s="2"/>
      <c r="AA303" s="2"/>
      <c r="AB303" s="2"/>
      <c r="AC303" s="2"/>
      <c r="AD303" s="2"/>
      <c r="AE303" s="2"/>
      <c r="AF303" s="2"/>
      <c r="AG303" s="2"/>
      <c r="AH303" s="2"/>
      <c r="AI303" s="3"/>
    </row>
    <row r="304" spans="1:35" hidden="1" outlineLevel="2" x14ac:dyDescent="0.2">
      <c r="J304" s="56"/>
      <c r="K304" s="56"/>
      <c r="L304" s="56"/>
      <c r="M304" s="56"/>
      <c r="N304" s="56"/>
      <c r="O304" s="56"/>
      <c r="P304" s="56"/>
      <c r="Q304" s="56"/>
      <c r="R304" s="106"/>
      <c r="S304" s="56"/>
      <c r="Y304" s="4"/>
      <c r="AI304" s="5"/>
    </row>
    <row r="305" spans="1:35" hidden="1" outlineLevel="2" x14ac:dyDescent="0.2">
      <c r="D305" s="6"/>
      <c r="E305" s="52"/>
      <c r="F305" s="52"/>
      <c r="G305" s="52"/>
      <c r="H305" s="52"/>
      <c r="J305" s="121"/>
      <c r="K305" s="121"/>
      <c r="L305" s="136"/>
      <c r="M305" s="136"/>
      <c r="N305" s="136"/>
      <c r="O305" s="121"/>
      <c r="P305" s="121"/>
      <c r="Q305" s="121"/>
      <c r="R305" s="101"/>
      <c r="S305" s="121"/>
      <c r="Y305" s="4"/>
      <c r="AI305" s="5"/>
    </row>
    <row r="306" spans="1:35" hidden="1" outlineLevel="2" x14ac:dyDescent="0.2">
      <c r="D306" s="6"/>
      <c r="E306" s="52"/>
      <c r="F306" s="52"/>
      <c r="G306" s="52"/>
      <c r="H306" s="52"/>
      <c r="O306" s="56"/>
      <c r="P306" s="56"/>
      <c r="Q306" s="56"/>
      <c r="R306" s="100"/>
      <c r="Y306" s="4"/>
      <c r="AI306" s="5"/>
    </row>
    <row r="307" spans="1:35" hidden="1" outlineLevel="2" x14ac:dyDescent="0.2">
      <c r="O307" s="56"/>
      <c r="P307" s="133"/>
      <c r="Q307" s="56"/>
      <c r="R307" s="135"/>
      <c r="Y307" s="4"/>
      <c r="AI307" s="5"/>
    </row>
    <row r="308" spans="1:35" hidden="1" outlineLevel="2" x14ac:dyDescent="0.2">
      <c r="D308" s="10"/>
      <c r="E308" s="53"/>
      <c r="F308" s="53"/>
      <c r="G308" s="53"/>
      <c r="H308" s="53"/>
      <c r="J308" s="60"/>
      <c r="K308" s="60"/>
      <c r="L308" s="122"/>
      <c r="M308" s="122"/>
      <c r="N308" s="122"/>
      <c r="O308" s="122"/>
      <c r="P308" s="122"/>
      <c r="Q308" s="122"/>
      <c r="R308" s="110"/>
      <c r="S308" s="122"/>
      <c r="T308" s="10"/>
      <c r="V308" s="13"/>
      <c r="Y308" s="36"/>
      <c r="Z308" s="13"/>
      <c r="AA308" s="13"/>
      <c r="AB308" s="13"/>
      <c r="AC308" s="13"/>
      <c r="AE308" s="30"/>
      <c r="AF308" s="10"/>
      <c r="AG308" s="10"/>
      <c r="AH308" s="10"/>
      <c r="AI308" s="37"/>
    </row>
    <row r="309" spans="1:35" hidden="1" outlineLevel="2" x14ac:dyDescent="0.2">
      <c r="J309" s="60"/>
      <c r="K309" s="60"/>
      <c r="L309" s="122"/>
      <c r="M309" s="122"/>
      <c r="N309" s="122"/>
      <c r="O309" s="122"/>
      <c r="P309" s="122"/>
      <c r="Q309" s="122"/>
      <c r="R309" s="110"/>
      <c r="S309" s="122"/>
      <c r="T309" s="10"/>
      <c r="V309" s="13"/>
      <c r="W309" s="17"/>
      <c r="Y309" s="36"/>
      <c r="Z309" s="13"/>
      <c r="AA309" s="13"/>
      <c r="AB309" s="13"/>
      <c r="AC309" s="13"/>
      <c r="AE309" s="30"/>
      <c r="AF309" s="10"/>
      <c r="AG309" s="10"/>
      <c r="AH309" s="10"/>
      <c r="AI309" s="37"/>
    </row>
    <row r="310" spans="1:35" hidden="1" outlineLevel="2" x14ac:dyDescent="0.2">
      <c r="D310" s="6"/>
      <c r="E310" s="52"/>
      <c r="G310" s="52"/>
      <c r="H310" s="52"/>
      <c r="J310" s="60"/>
      <c r="K310" s="60"/>
      <c r="L310" s="122"/>
      <c r="M310" s="122"/>
      <c r="N310" s="122"/>
      <c r="O310" s="122"/>
      <c r="P310" s="122"/>
      <c r="Q310" s="122"/>
      <c r="R310" s="110"/>
      <c r="S310" s="122"/>
      <c r="T310" s="10"/>
      <c r="V310" s="13"/>
      <c r="Y310" s="36"/>
      <c r="Z310" s="13"/>
      <c r="AA310" s="13"/>
      <c r="AB310" s="13"/>
      <c r="AC310" s="13"/>
      <c r="AE310" s="30"/>
      <c r="AF310" s="10"/>
      <c r="AG310" s="10"/>
      <c r="AH310" s="10"/>
      <c r="AI310" s="37"/>
    </row>
    <row r="311" spans="1:35" hidden="1" outlineLevel="2" x14ac:dyDescent="0.2">
      <c r="J311" s="123"/>
      <c r="K311" s="123"/>
      <c r="L311" s="60"/>
      <c r="M311" s="60"/>
      <c r="N311" s="60"/>
      <c r="O311" s="60"/>
      <c r="P311" s="60"/>
      <c r="Q311" s="60"/>
      <c r="R311" s="103"/>
      <c r="S311" s="63"/>
      <c r="Y311" s="8"/>
      <c r="Z311" s="9"/>
      <c r="AA311" s="9"/>
      <c r="AB311" s="9"/>
      <c r="AC311" s="9"/>
      <c r="AD311" s="9"/>
      <c r="AE311" s="9"/>
      <c r="AF311" s="9"/>
      <c r="AG311" s="9"/>
      <c r="AH311" s="9"/>
      <c r="AI311" s="38"/>
    </row>
    <row r="312" spans="1:35" hidden="1" outlineLevel="2" x14ac:dyDescent="0.2">
      <c r="J312" s="123"/>
      <c r="K312" s="123"/>
      <c r="L312" s="63"/>
      <c r="M312" s="63"/>
      <c r="N312" s="63"/>
      <c r="O312" s="63"/>
      <c r="P312" s="63"/>
      <c r="Q312" s="63"/>
      <c r="R312" s="118"/>
      <c r="S312" s="63"/>
    </row>
    <row r="313" spans="1:35" hidden="1" outlineLevel="2" x14ac:dyDescent="0.2">
      <c r="J313" s="47"/>
      <c r="K313" s="63"/>
      <c r="L313" s="63"/>
      <c r="M313" s="63"/>
      <c r="N313" s="63"/>
      <c r="O313" s="63"/>
      <c r="P313" s="63"/>
      <c r="Q313" s="63"/>
      <c r="R313" s="63"/>
      <c r="S313" s="63"/>
    </row>
    <row r="314" spans="1:35" hidden="1" outlineLevel="2" x14ac:dyDescent="0.2">
      <c r="J314" s="239"/>
    </row>
    <row r="315" spans="1:35" hidden="1" outlineLevel="2" x14ac:dyDescent="0.2">
      <c r="A315" s="44"/>
      <c r="B315" s="238"/>
      <c r="C315" s="238"/>
      <c r="D315" s="238"/>
      <c r="R315" s="111"/>
      <c r="Y315" s="35"/>
      <c r="Z315" s="2"/>
      <c r="AA315" s="2"/>
      <c r="AB315" s="2"/>
      <c r="AC315" s="2"/>
      <c r="AD315" s="2"/>
      <c r="AE315" s="2"/>
      <c r="AF315" s="2"/>
      <c r="AG315" s="2"/>
      <c r="AH315" s="2"/>
      <c r="AI315" s="3"/>
    </row>
    <row r="316" spans="1:35" hidden="1" outlineLevel="2" x14ac:dyDescent="0.2">
      <c r="J316" s="56"/>
      <c r="K316" s="56"/>
      <c r="L316" s="56"/>
      <c r="M316" s="56"/>
      <c r="N316" s="56"/>
      <c r="O316" s="56"/>
      <c r="P316" s="56"/>
      <c r="Q316" s="56"/>
      <c r="R316" s="106"/>
      <c r="S316" s="56"/>
      <c r="Y316" s="4"/>
      <c r="AI316" s="5"/>
    </row>
    <row r="317" spans="1:35" hidden="1" outlineLevel="2" x14ac:dyDescent="0.2">
      <c r="D317" s="6"/>
      <c r="E317" s="52"/>
      <c r="F317" s="52"/>
      <c r="G317" s="52"/>
      <c r="H317" s="52"/>
      <c r="J317" s="121"/>
      <c r="K317" s="121"/>
      <c r="L317" s="136"/>
      <c r="M317" s="136"/>
      <c r="N317" s="136"/>
      <c r="O317" s="121"/>
      <c r="P317" s="121"/>
      <c r="Q317" s="121"/>
      <c r="R317" s="101"/>
      <c r="S317" s="121"/>
      <c r="Y317" s="4"/>
      <c r="AI317" s="5"/>
    </row>
    <row r="318" spans="1:35" hidden="1" outlineLevel="2" x14ac:dyDescent="0.2">
      <c r="D318" s="6"/>
      <c r="E318" s="52"/>
      <c r="F318" s="52"/>
      <c r="G318" s="52"/>
      <c r="H318" s="52"/>
      <c r="O318" s="56"/>
      <c r="P318" s="56"/>
      <c r="Q318" s="56"/>
      <c r="R318" s="100"/>
      <c r="Y318" s="4"/>
      <c r="AI318" s="5"/>
    </row>
    <row r="319" spans="1:35" hidden="1" outlineLevel="2" x14ac:dyDescent="0.2">
      <c r="O319" s="56"/>
      <c r="P319" s="133"/>
      <c r="Q319" s="56"/>
      <c r="R319" s="135"/>
      <c r="Y319" s="4"/>
      <c r="AI319" s="5"/>
    </row>
    <row r="320" spans="1:35" hidden="1" outlineLevel="2" x14ac:dyDescent="0.2">
      <c r="J320" s="60"/>
      <c r="K320" s="60"/>
      <c r="L320" s="122"/>
      <c r="M320" s="122"/>
      <c r="N320" s="122"/>
      <c r="O320" s="122"/>
      <c r="P320" s="122"/>
      <c r="Q320" s="122"/>
      <c r="R320" s="110"/>
      <c r="S320" s="122"/>
      <c r="T320" s="10"/>
      <c r="V320" s="13"/>
      <c r="Y320" s="36"/>
      <c r="Z320" s="13"/>
      <c r="AA320" s="13"/>
      <c r="AB320" s="13"/>
      <c r="AC320" s="13"/>
      <c r="AE320" s="30"/>
      <c r="AF320" s="10"/>
      <c r="AG320" s="10"/>
      <c r="AH320" s="10"/>
      <c r="AI320" s="37"/>
    </row>
    <row r="321" spans="1:35" hidden="1" outlineLevel="2" x14ac:dyDescent="0.2">
      <c r="J321" s="60"/>
      <c r="K321" s="60"/>
      <c r="L321" s="122"/>
      <c r="M321" s="122"/>
      <c r="N321" s="122"/>
      <c r="O321" s="122"/>
      <c r="P321" s="122"/>
      <c r="Q321" s="122"/>
      <c r="R321" s="110"/>
      <c r="S321" s="122"/>
      <c r="T321" s="10"/>
      <c r="V321" s="13"/>
      <c r="W321" s="17"/>
      <c r="Y321" s="36"/>
      <c r="Z321" s="13"/>
      <c r="AA321" s="13"/>
      <c r="AB321" s="13"/>
      <c r="AC321" s="13"/>
      <c r="AE321" s="30"/>
      <c r="AF321" s="10"/>
      <c r="AG321" s="10"/>
      <c r="AH321" s="10"/>
      <c r="AI321" s="37"/>
    </row>
    <row r="322" spans="1:35" hidden="1" outlineLevel="2" x14ac:dyDescent="0.2">
      <c r="D322" s="6"/>
      <c r="E322" s="52"/>
      <c r="G322" s="52"/>
      <c r="H322" s="52"/>
      <c r="J322" s="60"/>
      <c r="K322" s="60"/>
      <c r="L322" s="122"/>
      <c r="M322" s="122"/>
      <c r="N322" s="122"/>
      <c r="O322" s="122"/>
      <c r="P322" s="122"/>
      <c r="Q322" s="122"/>
      <c r="R322" s="110"/>
      <c r="S322" s="122"/>
      <c r="T322" s="10"/>
      <c r="V322" s="13"/>
      <c r="Y322" s="36"/>
      <c r="Z322" s="13"/>
      <c r="AA322" s="13"/>
      <c r="AB322" s="13"/>
      <c r="AC322" s="13"/>
      <c r="AE322" s="30"/>
      <c r="AF322" s="10"/>
      <c r="AG322" s="10"/>
      <c r="AH322" s="10"/>
      <c r="AI322" s="37"/>
    </row>
    <row r="323" spans="1:35" hidden="1" outlineLevel="2" x14ac:dyDescent="0.2">
      <c r="J323" s="123"/>
      <c r="K323" s="123"/>
      <c r="L323" s="60"/>
      <c r="M323" s="60"/>
      <c r="N323" s="60"/>
      <c r="O323" s="60"/>
      <c r="P323" s="60"/>
      <c r="Q323" s="60"/>
      <c r="R323" s="103"/>
      <c r="S323" s="63"/>
      <c r="Y323" s="8"/>
      <c r="Z323" s="9"/>
      <c r="AA323" s="9"/>
      <c r="AB323" s="9"/>
      <c r="AC323" s="9"/>
      <c r="AD323" s="9"/>
      <c r="AE323" s="9"/>
      <c r="AF323" s="9"/>
      <c r="AG323" s="9"/>
      <c r="AH323" s="9"/>
      <c r="AI323" s="38"/>
    </row>
    <row r="324" spans="1:35" hidden="1" outlineLevel="2" x14ac:dyDescent="0.2">
      <c r="J324" s="123"/>
      <c r="K324" s="123"/>
      <c r="L324" s="63"/>
      <c r="M324" s="63"/>
      <c r="N324" s="63"/>
      <c r="O324" s="63"/>
      <c r="P324" s="63"/>
      <c r="Q324" s="63"/>
      <c r="R324" s="118"/>
      <c r="S324" s="63"/>
    </row>
    <row r="325" spans="1:35" hidden="1" outlineLevel="2" x14ac:dyDescent="0.2">
      <c r="J325" s="47"/>
      <c r="K325" s="63"/>
      <c r="L325" s="63"/>
      <c r="M325" s="63"/>
      <c r="N325" s="63"/>
      <c r="O325" s="63"/>
      <c r="P325" s="63"/>
      <c r="Q325" s="63"/>
      <c r="R325" s="63"/>
      <c r="S325" s="63"/>
    </row>
    <row r="326" spans="1:35" hidden="1" outlineLevel="2" x14ac:dyDescent="0.2">
      <c r="J326" s="239"/>
    </row>
    <row r="327" spans="1:35" hidden="1" outlineLevel="2" x14ac:dyDescent="0.2">
      <c r="A327" s="44"/>
      <c r="B327" s="238"/>
      <c r="C327" s="238"/>
      <c r="D327" s="238"/>
      <c r="Y327" s="35"/>
      <c r="Z327" s="2"/>
      <c r="AA327" s="2"/>
      <c r="AB327" s="2"/>
      <c r="AC327" s="2"/>
      <c r="AD327" s="2"/>
      <c r="AE327" s="2"/>
      <c r="AF327" s="2"/>
      <c r="AG327" s="2"/>
      <c r="AH327" s="2"/>
      <c r="AI327" s="3"/>
    </row>
    <row r="328" spans="1:35" hidden="1" outlineLevel="2" x14ac:dyDescent="0.2">
      <c r="J328" s="56"/>
      <c r="K328" s="56"/>
      <c r="L328" s="56"/>
      <c r="M328" s="56"/>
      <c r="N328" s="56"/>
      <c r="O328" s="56"/>
      <c r="P328" s="56"/>
      <c r="Q328" s="56"/>
      <c r="R328" s="56"/>
      <c r="S328" s="56"/>
      <c r="Y328" s="4"/>
      <c r="AI328" s="5"/>
    </row>
    <row r="329" spans="1:35" hidden="1" outlineLevel="2" x14ac:dyDescent="0.2">
      <c r="D329" s="6"/>
      <c r="E329" s="52"/>
      <c r="F329" s="52"/>
      <c r="G329" s="52"/>
      <c r="H329" s="52"/>
      <c r="J329" s="121"/>
      <c r="K329" s="121"/>
      <c r="L329" s="136"/>
      <c r="M329" s="136"/>
      <c r="N329" s="136"/>
      <c r="R329" s="111"/>
      <c r="Y329" s="4"/>
      <c r="AI329" s="5"/>
    </row>
    <row r="330" spans="1:35" s="7" customFormat="1" hidden="1" outlineLevel="2" x14ac:dyDescent="0.2">
      <c r="C330" s="240"/>
      <c r="D330" s="241"/>
      <c r="E330" s="52"/>
      <c r="F330" s="52"/>
      <c r="G330" s="52"/>
      <c r="H330" s="52"/>
      <c r="I330" s="12"/>
      <c r="J330" s="12"/>
      <c r="K330" s="12"/>
      <c r="L330" s="12"/>
      <c r="M330" s="12"/>
      <c r="N330" s="12"/>
      <c r="O330" s="56"/>
      <c r="P330" s="56"/>
      <c r="Q330" s="56"/>
      <c r="R330" s="106"/>
      <c r="S330" s="56"/>
      <c r="W330" s="34"/>
      <c r="X330" s="34"/>
      <c r="Y330" s="32"/>
      <c r="AI330" s="33"/>
    </row>
    <row r="331" spans="1:35" s="7" customFormat="1" hidden="1" outlineLevel="2" x14ac:dyDescent="0.2">
      <c r="C331" s="240"/>
      <c r="D331" s="241"/>
      <c r="E331" s="52"/>
      <c r="F331" s="52"/>
      <c r="G331" s="52"/>
      <c r="H331" s="52"/>
      <c r="I331" s="12"/>
      <c r="J331" s="121"/>
      <c r="K331" s="121"/>
      <c r="L331" s="121"/>
      <c r="M331" s="136"/>
      <c r="O331" s="121"/>
      <c r="P331" s="121"/>
      <c r="Q331" s="121"/>
      <c r="R331" s="101"/>
      <c r="S331" s="121"/>
      <c r="W331" s="34"/>
      <c r="X331" s="34"/>
      <c r="Y331" s="32"/>
      <c r="AI331" s="33"/>
    </row>
    <row r="332" spans="1:35" hidden="1" outlineLevel="2" x14ac:dyDescent="0.2">
      <c r="C332" s="242"/>
      <c r="D332" s="6"/>
      <c r="E332" s="52"/>
      <c r="F332" s="52"/>
      <c r="G332" s="52"/>
      <c r="H332" s="52"/>
      <c r="O332" s="56"/>
      <c r="P332" s="56"/>
      <c r="Q332" s="56"/>
      <c r="R332" s="100"/>
      <c r="Y332" s="4"/>
      <c r="AI332" s="5"/>
    </row>
    <row r="333" spans="1:35" hidden="1" outlineLevel="2" x14ac:dyDescent="0.2">
      <c r="O333" s="56"/>
      <c r="P333" s="133"/>
      <c r="Q333" s="56"/>
      <c r="R333" s="135"/>
      <c r="Y333" s="4"/>
      <c r="AI333" s="5"/>
    </row>
    <row r="334" spans="1:35" hidden="1" outlineLevel="2" x14ac:dyDescent="0.2">
      <c r="J334" s="60"/>
      <c r="K334" s="60"/>
      <c r="L334" s="122"/>
      <c r="M334" s="122"/>
      <c r="N334" s="122"/>
      <c r="O334" s="122"/>
      <c r="P334" s="122"/>
      <c r="Q334" s="122"/>
      <c r="R334" s="110"/>
      <c r="S334" s="122"/>
      <c r="T334" s="10"/>
      <c r="V334" s="13"/>
      <c r="Y334" s="36"/>
      <c r="Z334" s="13"/>
      <c r="AA334" s="13"/>
      <c r="AB334" s="13"/>
      <c r="AC334" s="13"/>
      <c r="AE334" s="30"/>
      <c r="AF334" s="10"/>
      <c r="AG334" s="10"/>
      <c r="AH334" s="10"/>
      <c r="AI334" s="37"/>
    </row>
    <row r="335" spans="1:35" hidden="1" outlineLevel="2" x14ac:dyDescent="0.2">
      <c r="J335" s="60"/>
      <c r="K335" s="60"/>
      <c r="L335" s="122"/>
      <c r="M335" s="122"/>
      <c r="N335" s="122"/>
      <c r="O335" s="122"/>
      <c r="P335" s="122"/>
      <c r="Q335" s="122"/>
      <c r="R335" s="110"/>
      <c r="S335" s="122"/>
      <c r="T335" s="10"/>
      <c r="V335" s="13"/>
      <c r="W335" s="17"/>
      <c r="Y335" s="36"/>
      <c r="Z335" s="13"/>
      <c r="AA335" s="13"/>
      <c r="AB335" s="13"/>
      <c r="AC335" s="13"/>
      <c r="AE335" s="30"/>
      <c r="AF335" s="10"/>
      <c r="AG335" s="10"/>
      <c r="AH335" s="10"/>
      <c r="AI335" s="37"/>
    </row>
    <row r="336" spans="1:35" hidden="1" outlineLevel="2" x14ac:dyDescent="0.2">
      <c r="D336" s="6"/>
      <c r="E336" s="52"/>
      <c r="G336" s="52"/>
      <c r="H336" s="235"/>
      <c r="J336" s="60"/>
      <c r="K336" s="60"/>
      <c r="L336" s="122"/>
      <c r="M336" s="122"/>
      <c r="N336" s="122"/>
      <c r="O336" s="122"/>
      <c r="P336" s="122"/>
      <c r="Q336" s="122"/>
      <c r="R336" s="110"/>
      <c r="S336" s="122"/>
      <c r="T336" s="10"/>
      <c r="V336" s="13"/>
      <c r="Y336" s="36"/>
      <c r="Z336" s="13"/>
      <c r="AA336" s="13"/>
      <c r="AB336" s="13"/>
      <c r="AC336" s="13"/>
      <c r="AE336" s="30"/>
      <c r="AF336" s="10"/>
      <c r="AG336" s="10"/>
      <c r="AH336" s="10"/>
      <c r="AI336" s="37"/>
    </row>
    <row r="337" spans="1:35" hidden="1" outlineLevel="2" x14ac:dyDescent="0.2">
      <c r="H337" s="47"/>
      <c r="J337" s="123"/>
      <c r="K337" s="123"/>
      <c r="L337" s="60"/>
      <c r="M337" s="60"/>
      <c r="N337" s="60"/>
      <c r="O337" s="60"/>
      <c r="P337" s="60"/>
      <c r="Q337" s="60"/>
      <c r="R337" s="103"/>
      <c r="S337" s="63"/>
      <c r="Y337" s="8"/>
      <c r="Z337" s="9"/>
      <c r="AA337" s="9"/>
      <c r="AB337" s="9"/>
      <c r="AC337" s="9"/>
      <c r="AD337" s="9"/>
      <c r="AE337" s="9"/>
      <c r="AF337" s="9"/>
      <c r="AG337" s="9"/>
      <c r="AH337" s="9"/>
      <c r="AI337" s="38"/>
    </row>
    <row r="338" spans="1:35" hidden="1" outlineLevel="2" x14ac:dyDescent="0.2">
      <c r="J338" s="123"/>
      <c r="K338" s="123"/>
      <c r="L338" s="63"/>
      <c r="M338" s="63"/>
      <c r="N338" s="63"/>
      <c r="O338" s="63"/>
      <c r="P338" s="63"/>
      <c r="Q338" s="63"/>
      <c r="R338" s="118"/>
      <c r="S338" s="63"/>
    </row>
    <row r="339" spans="1:35" hidden="1" outlineLevel="2" x14ac:dyDescent="0.2">
      <c r="J339" s="47"/>
      <c r="K339" s="63"/>
      <c r="L339" s="63"/>
      <c r="M339" s="63"/>
      <c r="N339" s="63"/>
      <c r="O339" s="63"/>
      <c r="P339" s="63"/>
      <c r="Q339" s="63"/>
      <c r="R339" s="63"/>
      <c r="S339" s="63"/>
    </row>
    <row r="340" spans="1:35" hidden="1" outlineLevel="2" x14ac:dyDescent="0.2">
      <c r="J340" s="239"/>
    </row>
    <row r="341" spans="1:35" hidden="1" outlineLevel="2" x14ac:dyDescent="0.2">
      <c r="A341" s="44"/>
      <c r="B341" s="237"/>
      <c r="C341" s="238"/>
      <c r="D341" s="238"/>
      <c r="R341" s="111"/>
      <c r="Y341" s="35"/>
      <c r="Z341" s="2"/>
      <c r="AA341" s="2"/>
      <c r="AB341" s="2"/>
      <c r="AC341" s="2"/>
      <c r="AD341" s="2"/>
      <c r="AE341" s="2"/>
      <c r="AF341" s="2"/>
      <c r="AG341" s="2"/>
      <c r="AH341" s="2"/>
      <c r="AI341" s="3"/>
    </row>
    <row r="342" spans="1:35" hidden="1" outlineLevel="2" x14ac:dyDescent="0.2">
      <c r="J342" s="56"/>
      <c r="K342" s="56"/>
      <c r="L342" s="56"/>
      <c r="M342" s="56"/>
      <c r="N342" s="56"/>
      <c r="O342" s="56"/>
      <c r="P342" s="56"/>
      <c r="Q342" s="56"/>
      <c r="R342" s="106"/>
      <c r="S342" s="56"/>
      <c r="Y342" s="4"/>
      <c r="AI342" s="5"/>
    </row>
    <row r="343" spans="1:35" hidden="1" outlineLevel="2" x14ac:dyDescent="0.2">
      <c r="D343" s="6"/>
      <c r="E343" s="52"/>
      <c r="F343" s="52"/>
      <c r="G343" s="52"/>
      <c r="H343" s="52"/>
      <c r="J343" s="121"/>
      <c r="K343" s="121"/>
      <c r="L343" s="136"/>
      <c r="M343" s="136"/>
      <c r="N343" s="136"/>
      <c r="O343" s="121"/>
      <c r="P343" s="121"/>
      <c r="Q343" s="121"/>
      <c r="R343" s="101"/>
      <c r="S343" s="121"/>
      <c r="Y343" s="4"/>
      <c r="AI343" s="5"/>
    </row>
    <row r="344" spans="1:35" hidden="1" outlineLevel="2" x14ac:dyDescent="0.2">
      <c r="D344" s="6"/>
      <c r="E344" s="52"/>
      <c r="F344" s="52"/>
      <c r="G344" s="52"/>
      <c r="H344" s="52"/>
      <c r="O344" s="56"/>
      <c r="P344" s="56"/>
      <c r="Q344" s="56"/>
      <c r="R344" s="100"/>
      <c r="Y344" s="4"/>
      <c r="AI344" s="5"/>
    </row>
    <row r="345" spans="1:35" hidden="1" outlineLevel="2" x14ac:dyDescent="0.2">
      <c r="O345" s="56"/>
      <c r="P345" s="133"/>
      <c r="Q345" s="56"/>
      <c r="R345" s="135"/>
      <c r="Y345" s="4"/>
      <c r="AI345" s="5"/>
    </row>
    <row r="346" spans="1:35" hidden="1" outlineLevel="2" x14ac:dyDescent="0.2">
      <c r="J346" s="60"/>
      <c r="K346" s="60"/>
      <c r="L346" s="122"/>
      <c r="M346" s="122"/>
      <c r="N346" s="122"/>
      <c r="O346" s="122"/>
      <c r="P346" s="122"/>
      <c r="Q346" s="122"/>
      <c r="R346" s="110"/>
      <c r="S346" s="122"/>
      <c r="T346" s="10"/>
      <c r="V346" s="13"/>
      <c r="Y346" s="36"/>
      <c r="Z346" s="13"/>
      <c r="AA346" s="13"/>
      <c r="AB346" s="13"/>
      <c r="AC346" s="13"/>
      <c r="AE346" s="30"/>
      <c r="AF346" s="10"/>
      <c r="AG346" s="10"/>
      <c r="AH346" s="10"/>
      <c r="AI346" s="37"/>
    </row>
    <row r="347" spans="1:35" hidden="1" outlineLevel="2" x14ac:dyDescent="0.2">
      <c r="J347" s="60"/>
      <c r="K347" s="60"/>
      <c r="L347" s="122"/>
      <c r="M347" s="122"/>
      <c r="N347" s="122"/>
      <c r="O347" s="122"/>
      <c r="P347" s="122"/>
      <c r="Q347" s="122"/>
      <c r="R347" s="110"/>
      <c r="S347" s="122"/>
      <c r="T347" s="10"/>
      <c r="V347" s="13"/>
      <c r="W347" s="17"/>
      <c r="Y347" s="36"/>
      <c r="Z347" s="13"/>
      <c r="AA347" s="13"/>
      <c r="AB347" s="13"/>
      <c r="AC347" s="13"/>
      <c r="AE347" s="30"/>
      <c r="AF347" s="10"/>
      <c r="AG347" s="10"/>
      <c r="AH347" s="10"/>
      <c r="AI347" s="37"/>
    </row>
    <row r="348" spans="1:35" hidden="1" outlineLevel="2" x14ac:dyDescent="0.2">
      <c r="D348" s="6"/>
      <c r="E348" s="52"/>
      <c r="G348" s="52"/>
      <c r="H348" s="52"/>
      <c r="J348" s="60"/>
      <c r="K348" s="60"/>
      <c r="L348" s="122"/>
      <c r="M348" s="122"/>
      <c r="N348" s="122"/>
      <c r="O348" s="122"/>
      <c r="P348" s="122"/>
      <c r="Q348" s="122"/>
      <c r="R348" s="110"/>
      <c r="S348" s="122"/>
      <c r="T348" s="10"/>
      <c r="V348" s="13"/>
      <c r="Y348" s="36"/>
      <c r="Z348" s="13"/>
      <c r="AA348" s="13"/>
      <c r="AB348" s="13"/>
      <c r="AC348" s="13"/>
      <c r="AE348" s="30"/>
      <c r="AF348" s="10"/>
      <c r="AG348" s="10"/>
      <c r="AH348" s="10"/>
      <c r="AI348" s="37"/>
    </row>
    <row r="349" spans="1:35" hidden="1" outlineLevel="2" x14ac:dyDescent="0.2">
      <c r="H349" s="243"/>
      <c r="I349" s="244"/>
      <c r="J349" s="123"/>
      <c r="K349" s="123"/>
      <c r="L349" s="60"/>
      <c r="M349" s="60"/>
      <c r="N349" s="60"/>
      <c r="O349" s="60"/>
      <c r="P349" s="60"/>
      <c r="Q349" s="60"/>
      <c r="R349" s="103"/>
      <c r="S349" s="63"/>
      <c r="Y349" s="8"/>
      <c r="Z349" s="9"/>
      <c r="AA349" s="9"/>
      <c r="AB349" s="9"/>
      <c r="AC349" s="9"/>
      <c r="AD349" s="9"/>
      <c r="AE349" s="9"/>
      <c r="AF349" s="9"/>
      <c r="AG349" s="9"/>
      <c r="AH349" s="9"/>
      <c r="AI349" s="38"/>
    </row>
    <row r="350" spans="1:35" hidden="1" outlineLevel="2" x14ac:dyDescent="0.2">
      <c r="J350" s="123"/>
      <c r="K350" s="123"/>
      <c r="L350" s="63"/>
      <c r="M350" s="63"/>
      <c r="N350" s="63"/>
      <c r="O350" s="63"/>
      <c r="P350" s="63"/>
      <c r="Q350" s="63"/>
      <c r="R350" s="118"/>
      <c r="S350" s="63"/>
    </row>
    <row r="351" spans="1:35" hidden="1" outlineLevel="2" x14ac:dyDescent="0.2">
      <c r="J351" s="47"/>
      <c r="K351" s="63"/>
      <c r="L351" s="63"/>
      <c r="M351" s="63"/>
      <c r="N351" s="63"/>
      <c r="O351" s="63"/>
      <c r="P351" s="63"/>
      <c r="Q351" s="63"/>
      <c r="R351" s="63"/>
      <c r="S351" s="63"/>
    </row>
    <row r="352" spans="1:35" hidden="1" outlineLevel="2" x14ac:dyDescent="0.2">
      <c r="J352" s="239"/>
    </row>
    <row r="353" spans="1:35" hidden="1" outlineLevel="2" x14ac:dyDescent="0.2">
      <c r="A353" s="44"/>
      <c r="B353" s="237"/>
      <c r="C353" s="238"/>
      <c r="D353" s="238"/>
      <c r="R353" s="111"/>
      <c r="Y353" s="35"/>
      <c r="Z353" s="2"/>
      <c r="AA353" s="2"/>
      <c r="AB353" s="2"/>
      <c r="AC353" s="2"/>
      <c r="AD353" s="2"/>
      <c r="AE353" s="2"/>
      <c r="AF353" s="2"/>
      <c r="AG353" s="2"/>
      <c r="AH353" s="2"/>
      <c r="AI353" s="3"/>
    </row>
    <row r="354" spans="1:35" hidden="1" outlineLevel="2" x14ac:dyDescent="0.2">
      <c r="J354" s="56"/>
      <c r="K354" s="56"/>
      <c r="L354" s="56"/>
      <c r="M354" s="56"/>
      <c r="N354" s="56"/>
      <c r="O354" s="56"/>
      <c r="P354" s="56"/>
      <c r="Q354" s="56"/>
      <c r="R354" s="106"/>
      <c r="S354" s="56"/>
      <c r="Y354" s="4"/>
      <c r="AI354" s="5"/>
    </row>
    <row r="355" spans="1:35" hidden="1" outlineLevel="2" x14ac:dyDescent="0.2">
      <c r="D355" s="6"/>
      <c r="E355" s="52"/>
      <c r="F355" s="52"/>
      <c r="G355" s="52"/>
      <c r="H355" s="52"/>
      <c r="J355" s="121"/>
      <c r="K355" s="121"/>
      <c r="L355" s="136"/>
      <c r="M355" s="136"/>
      <c r="N355" s="136"/>
      <c r="O355" s="121"/>
      <c r="P355" s="121"/>
      <c r="Q355" s="121"/>
      <c r="R355" s="101"/>
      <c r="S355" s="121"/>
      <c r="Y355" s="4"/>
      <c r="AI355" s="5"/>
    </row>
    <row r="356" spans="1:35" hidden="1" outlineLevel="2" x14ac:dyDescent="0.2">
      <c r="D356" s="6"/>
      <c r="E356" s="52"/>
      <c r="F356" s="52"/>
      <c r="G356" s="52"/>
      <c r="H356" s="52"/>
      <c r="O356" s="56"/>
      <c r="P356" s="56"/>
      <c r="Q356" s="56"/>
      <c r="R356" s="100"/>
      <c r="Y356" s="4"/>
      <c r="AI356" s="5"/>
    </row>
    <row r="357" spans="1:35" hidden="1" outlineLevel="2" x14ac:dyDescent="0.2">
      <c r="O357" s="56"/>
      <c r="P357" s="133"/>
      <c r="Q357" s="56"/>
      <c r="R357" s="135"/>
      <c r="Y357" s="4"/>
      <c r="AI357" s="5"/>
    </row>
    <row r="358" spans="1:35" hidden="1" outlineLevel="2" x14ac:dyDescent="0.2">
      <c r="J358" s="60"/>
      <c r="K358" s="60"/>
      <c r="L358" s="122"/>
      <c r="M358" s="122"/>
      <c r="N358" s="122"/>
      <c r="O358" s="122"/>
      <c r="P358" s="122"/>
      <c r="Q358" s="122"/>
      <c r="R358" s="110"/>
      <c r="S358" s="122"/>
      <c r="T358" s="10"/>
      <c r="V358" s="13"/>
      <c r="Y358" s="36"/>
      <c r="Z358" s="13"/>
      <c r="AA358" s="13"/>
      <c r="AB358" s="13"/>
      <c r="AC358" s="13"/>
      <c r="AE358" s="30"/>
      <c r="AF358" s="10"/>
      <c r="AG358" s="10"/>
      <c r="AH358" s="10"/>
      <c r="AI358" s="37"/>
    </row>
    <row r="359" spans="1:35" hidden="1" outlineLevel="2" x14ac:dyDescent="0.2">
      <c r="J359" s="60"/>
      <c r="K359" s="60"/>
      <c r="L359" s="122"/>
      <c r="M359" s="122"/>
      <c r="N359" s="122"/>
      <c r="O359" s="122"/>
      <c r="P359" s="122"/>
      <c r="Q359" s="122"/>
      <c r="R359" s="110"/>
      <c r="S359" s="122"/>
      <c r="T359" s="10"/>
      <c r="V359" s="13"/>
      <c r="W359" s="17"/>
      <c r="Y359" s="36"/>
      <c r="Z359" s="13"/>
      <c r="AA359" s="13"/>
      <c r="AB359" s="13"/>
      <c r="AC359" s="13"/>
      <c r="AE359" s="30"/>
      <c r="AF359" s="10"/>
      <c r="AG359" s="10"/>
      <c r="AH359" s="10"/>
      <c r="AI359" s="37"/>
    </row>
    <row r="360" spans="1:35" hidden="1" outlineLevel="2" x14ac:dyDescent="0.2">
      <c r="D360" s="6"/>
      <c r="E360" s="52"/>
      <c r="G360" s="52"/>
      <c r="H360" s="52"/>
      <c r="J360" s="60"/>
      <c r="K360" s="60"/>
      <c r="L360" s="122"/>
      <c r="M360" s="122"/>
      <c r="N360" s="122"/>
      <c r="O360" s="122"/>
      <c r="P360" s="122"/>
      <c r="Q360" s="122"/>
      <c r="R360" s="110"/>
      <c r="S360" s="122"/>
      <c r="T360" s="10"/>
      <c r="V360" s="13"/>
      <c r="Y360" s="36"/>
      <c r="Z360" s="13"/>
      <c r="AA360" s="13"/>
      <c r="AB360" s="13"/>
      <c r="AC360" s="13"/>
      <c r="AE360" s="30"/>
      <c r="AF360" s="10"/>
      <c r="AG360" s="10"/>
      <c r="AH360" s="10"/>
      <c r="AI360" s="37"/>
    </row>
    <row r="361" spans="1:35" hidden="1" outlineLevel="2" x14ac:dyDescent="0.2">
      <c r="H361" s="47"/>
      <c r="J361" s="123"/>
      <c r="K361" s="123"/>
      <c r="L361" s="60"/>
      <c r="M361" s="60"/>
      <c r="N361" s="60"/>
      <c r="O361" s="60"/>
      <c r="P361" s="60"/>
      <c r="Q361" s="60"/>
      <c r="R361" s="103"/>
      <c r="S361" s="63"/>
      <c r="Y361" s="8"/>
      <c r="Z361" s="9"/>
      <c r="AA361" s="9"/>
      <c r="AB361" s="9"/>
      <c r="AC361" s="9"/>
      <c r="AD361" s="9"/>
      <c r="AE361" s="9"/>
      <c r="AF361" s="9"/>
      <c r="AG361" s="9"/>
      <c r="AH361" s="9"/>
      <c r="AI361" s="38"/>
    </row>
    <row r="362" spans="1:35" hidden="1" outlineLevel="2" x14ac:dyDescent="0.2">
      <c r="J362" s="123"/>
      <c r="K362" s="123"/>
      <c r="L362" s="63"/>
      <c r="M362" s="63"/>
      <c r="N362" s="63"/>
      <c r="O362" s="63"/>
      <c r="P362" s="63"/>
      <c r="Q362" s="63"/>
      <c r="R362" s="118"/>
      <c r="S362" s="63"/>
    </row>
    <row r="363" spans="1:35" hidden="1" outlineLevel="2" x14ac:dyDescent="0.2">
      <c r="J363" s="47"/>
      <c r="K363" s="63"/>
      <c r="L363" s="63"/>
      <c r="M363" s="63"/>
      <c r="N363" s="63"/>
      <c r="O363" s="63"/>
      <c r="P363" s="63"/>
      <c r="Q363" s="63"/>
      <c r="R363" s="63"/>
      <c r="S363" s="63"/>
    </row>
    <row r="364" spans="1:35" hidden="1" outlineLevel="2" x14ac:dyDescent="0.2">
      <c r="J364" s="239"/>
    </row>
    <row r="365" spans="1:35" hidden="1" outlineLevel="2" x14ac:dyDescent="0.2">
      <c r="A365" s="44"/>
      <c r="B365" s="238"/>
      <c r="C365" s="238"/>
      <c r="D365" s="238"/>
      <c r="R365" s="111"/>
      <c r="Y365" s="35"/>
      <c r="Z365" s="2"/>
      <c r="AA365" s="2"/>
      <c r="AB365" s="2"/>
      <c r="AC365" s="2"/>
      <c r="AD365" s="2"/>
      <c r="AE365" s="2"/>
      <c r="AF365" s="2"/>
      <c r="AG365" s="2"/>
      <c r="AH365" s="2"/>
      <c r="AI365" s="3"/>
    </row>
    <row r="366" spans="1:35" hidden="1" outlineLevel="2" x14ac:dyDescent="0.2">
      <c r="J366" s="56"/>
      <c r="K366" s="56"/>
      <c r="L366" s="56"/>
      <c r="M366" s="56"/>
      <c r="N366" s="56"/>
      <c r="O366" s="56"/>
      <c r="P366" s="56"/>
      <c r="Q366" s="56"/>
      <c r="R366" s="106"/>
      <c r="S366" s="56"/>
      <c r="Y366" s="4"/>
      <c r="AI366" s="5"/>
    </row>
    <row r="367" spans="1:35" hidden="1" outlineLevel="2" x14ac:dyDescent="0.2">
      <c r="D367" s="6"/>
      <c r="E367" s="52"/>
      <c r="F367" s="52"/>
      <c r="G367" s="52"/>
      <c r="H367" s="52"/>
      <c r="J367" s="121"/>
      <c r="K367" s="121"/>
      <c r="L367" s="136"/>
      <c r="M367" s="136"/>
      <c r="N367" s="136"/>
      <c r="O367" s="121"/>
      <c r="P367" s="121"/>
      <c r="Q367" s="121"/>
      <c r="R367" s="101"/>
      <c r="S367" s="121"/>
      <c r="Y367" s="4"/>
      <c r="AI367" s="5"/>
    </row>
    <row r="368" spans="1:35" hidden="1" outlineLevel="2" x14ac:dyDescent="0.2">
      <c r="D368" s="6"/>
      <c r="E368" s="52"/>
      <c r="F368" s="52"/>
      <c r="G368" s="52"/>
      <c r="H368" s="52"/>
      <c r="O368" s="56"/>
      <c r="P368" s="56"/>
      <c r="Q368" s="56"/>
      <c r="R368" s="100"/>
      <c r="Y368" s="4"/>
      <c r="AI368" s="5"/>
    </row>
    <row r="369" spans="2:35" hidden="1" outlineLevel="2" x14ac:dyDescent="0.2">
      <c r="O369" s="56"/>
      <c r="P369" s="133"/>
      <c r="Q369" s="56"/>
      <c r="R369" s="135"/>
      <c r="Y369" s="4"/>
      <c r="AI369" s="5"/>
    </row>
    <row r="370" spans="2:35" hidden="1" outlineLevel="2" x14ac:dyDescent="0.2">
      <c r="J370" s="60"/>
      <c r="K370" s="60"/>
      <c r="L370" s="122"/>
      <c r="M370" s="122"/>
      <c r="N370" s="122"/>
      <c r="O370" s="122"/>
      <c r="P370" s="122"/>
      <c r="Q370" s="122"/>
      <c r="R370" s="110"/>
      <c r="S370" s="122"/>
      <c r="T370" s="10"/>
      <c r="V370" s="13"/>
      <c r="Y370" s="36"/>
      <c r="Z370" s="13"/>
      <c r="AA370" s="13"/>
      <c r="AB370" s="13"/>
      <c r="AC370" s="13"/>
      <c r="AE370" s="30"/>
      <c r="AF370" s="10"/>
      <c r="AG370" s="10"/>
      <c r="AH370" s="10"/>
      <c r="AI370" s="37"/>
    </row>
    <row r="371" spans="2:35" hidden="1" outlineLevel="2" x14ac:dyDescent="0.2">
      <c r="J371" s="60"/>
      <c r="K371" s="60"/>
      <c r="L371" s="122"/>
      <c r="M371" s="122"/>
      <c r="N371" s="122"/>
      <c r="O371" s="122"/>
      <c r="P371" s="122"/>
      <c r="Q371" s="122"/>
      <c r="R371" s="110"/>
      <c r="S371" s="122"/>
      <c r="T371" s="10"/>
      <c r="V371" s="13"/>
      <c r="W371" s="17"/>
      <c r="Y371" s="36"/>
      <c r="Z371" s="13"/>
      <c r="AA371" s="13"/>
      <c r="AB371" s="13"/>
      <c r="AC371" s="13"/>
      <c r="AE371" s="30"/>
      <c r="AF371" s="10"/>
      <c r="AG371" s="10"/>
      <c r="AH371" s="10"/>
      <c r="AI371" s="37"/>
    </row>
    <row r="372" spans="2:35" hidden="1" outlineLevel="2" x14ac:dyDescent="0.2">
      <c r="D372" s="6"/>
      <c r="E372" s="52"/>
      <c r="G372" s="52"/>
      <c r="H372" s="52"/>
      <c r="J372" s="60"/>
      <c r="K372" s="60"/>
      <c r="L372" s="122"/>
      <c r="M372" s="122"/>
      <c r="N372" s="122"/>
      <c r="O372" s="122"/>
      <c r="P372" s="122"/>
      <c r="Q372" s="122"/>
      <c r="R372" s="110"/>
      <c r="S372" s="122"/>
      <c r="T372" s="10"/>
      <c r="V372" s="13"/>
      <c r="Y372" s="36"/>
      <c r="Z372" s="13"/>
      <c r="AA372" s="13"/>
      <c r="AB372" s="13"/>
      <c r="AC372" s="13"/>
      <c r="AE372" s="30"/>
      <c r="AF372" s="10"/>
      <c r="AG372" s="10"/>
      <c r="AH372" s="10"/>
      <c r="AI372" s="37"/>
    </row>
    <row r="373" spans="2:35" hidden="1" outlineLevel="2" x14ac:dyDescent="0.2">
      <c r="J373" s="123"/>
      <c r="K373" s="123"/>
      <c r="L373" s="60"/>
      <c r="M373" s="60"/>
      <c r="N373" s="60"/>
      <c r="O373" s="60"/>
      <c r="P373" s="60"/>
      <c r="Q373" s="60"/>
      <c r="R373" s="103"/>
      <c r="S373" s="63"/>
      <c r="Y373" s="8"/>
      <c r="Z373" s="9"/>
      <c r="AA373" s="9"/>
      <c r="AB373" s="9"/>
      <c r="AC373" s="9"/>
      <c r="AD373" s="9"/>
      <c r="AE373" s="9"/>
      <c r="AF373" s="9"/>
      <c r="AG373" s="9"/>
      <c r="AH373" s="9"/>
      <c r="AI373" s="38"/>
    </row>
    <row r="374" spans="2:35" hidden="1" outlineLevel="2" x14ac:dyDescent="0.2">
      <c r="J374" s="123"/>
      <c r="K374" s="123"/>
      <c r="L374" s="63"/>
      <c r="M374" s="63"/>
      <c r="N374" s="63"/>
      <c r="O374" s="63"/>
      <c r="P374" s="63"/>
      <c r="Q374" s="63"/>
      <c r="R374" s="118"/>
      <c r="S374" s="63"/>
    </row>
    <row r="375" spans="2:35" hidden="1" outlineLevel="2" x14ac:dyDescent="0.2">
      <c r="J375" s="47"/>
      <c r="K375" s="63"/>
      <c r="L375" s="63"/>
      <c r="M375" s="63"/>
      <c r="N375" s="63"/>
      <c r="S375" s="116"/>
    </row>
    <row r="376" spans="2:35" hidden="1" outlineLevel="2" x14ac:dyDescent="0.2"/>
    <row r="377" spans="2:35" hidden="1" outlineLevel="2" x14ac:dyDescent="0.2"/>
    <row r="378" spans="2:35" hidden="1" outlineLevel="2" x14ac:dyDescent="0.2">
      <c r="B378" s="232"/>
      <c r="C378" s="233"/>
      <c r="D378" s="233"/>
    </row>
    <row r="379" spans="2:35" hidden="1" outlineLevel="2" x14ac:dyDescent="0.2">
      <c r="J379" s="56"/>
      <c r="K379" s="56"/>
      <c r="L379" s="56"/>
      <c r="M379" s="56"/>
      <c r="N379" s="56"/>
    </row>
    <row r="380" spans="2:35" ht="27" hidden="1" customHeight="1" outlineLevel="2" x14ac:dyDescent="0.2">
      <c r="D380" s="6"/>
      <c r="E380" s="6"/>
      <c r="F380" s="6"/>
      <c r="G380" s="6"/>
      <c r="H380" s="6"/>
      <c r="J380" s="121"/>
      <c r="K380" s="121"/>
      <c r="L380" s="136"/>
      <c r="M380" s="136"/>
      <c r="N380" s="136"/>
    </row>
    <row r="381" spans="2:35" ht="45.75" hidden="1" customHeight="1" outlineLevel="2" x14ac:dyDescent="0.2">
      <c r="D381" s="6"/>
      <c r="E381" s="6"/>
      <c r="F381" s="6"/>
      <c r="G381" s="6"/>
      <c r="H381" s="6"/>
      <c r="S381"/>
      <c r="W381"/>
      <c r="X381"/>
    </row>
    <row r="382" spans="2:35" hidden="1" outlineLevel="2" x14ac:dyDescent="0.2">
      <c r="S382"/>
      <c r="W382"/>
      <c r="X382"/>
    </row>
    <row r="383" spans="2:35" hidden="1" outlineLevel="2" x14ac:dyDescent="0.2">
      <c r="E383"/>
      <c r="J383" s="60"/>
      <c r="K383" s="60"/>
      <c r="L383" s="122"/>
      <c r="M383" s="122"/>
      <c r="N383" s="122"/>
      <c r="S383"/>
      <c r="W383"/>
      <c r="X383"/>
    </row>
    <row r="384" spans="2:35" hidden="1" outlineLevel="2" x14ac:dyDescent="0.2">
      <c r="J384" s="60"/>
      <c r="K384" s="60"/>
      <c r="L384" s="122"/>
      <c r="M384" s="122"/>
      <c r="N384" s="122"/>
      <c r="S384"/>
      <c r="W384"/>
      <c r="X384"/>
    </row>
    <row r="385" spans="2:24" hidden="1" outlineLevel="2" x14ac:dyDescent="0.2">
      <c r="D385" s="6"/>
      <c r="E385" s="6"/>
      <c r="G385" s="52"/>
      <c r="H385" s="52"/>
      <c r="J385" s="60"/>
      <c r="K385" s="60"/>
      <c r="L385" s="122"/>
      <c r="M385" s="122"/>
      <c r="N385" s="122"/>
      <c r="S385"/>
      <c r="W385"/>
      <c r="X385"/>
    </row>
    <row r="386" spans="2:24" hidden="1" outlineLevel="2" x14ac:dyDescent="0.2">
      <c r="J386" s="123"/>
      <c r="K386" s="123"/>
      <c r="L386" s="60"/>
      <c r="M386" s="60"/>
      <c r="N386" s="60"/>
      <c r="S386"/>
      <c r="W386"/>
      <c r="X386"/>
    </row>
    <row r="387" spans="2:24" hidden="1" outlineLevel="2" x14ac:dyDescent="0.2">
      <c r="J387" s="123"/>
      <c r="K387" s="123"/>
      <c r="L387" s="63"/>
      <c r="M387" s="63"/>
      <c r="N387" s="63"/>
      <c r="S387"/>
      <c r="W387"/>
      <c r="X387"/>
    </row>
    <row r="388" spans="2:24" hidden="1" outlineLevel="2" x14ac:dyDescent="0.2">
      <c r="J388" s="47"/>
      <c r="K388" s="63"/>
      <c r="L388" s="63"/>
      <c r="M388" s="63"/>
      <c r="N388" s="63"/>
      <c r="S388"/>
      <c r="W388"/>
      <c r="X388"/>
    </row>
    <row r="389" spans="2:24" hidden="1" outlineLevel="2" x14ac:dyDescent="0.2"/>
    <row r="390" spans="2:24" hidden="1" outlineLevel="2" x14ac:dyDescent="0.2"/>
    <row r="391" spans="2:24" hidden="1" outlineLevel="2" x14ac:dyDescent="0.2">
      <c r="B391" s="233"/>
      <c r="C391" s="233"/>
      <c r="D391" s="233"/>
    </row>
    <row r="392" spans="2:24" hidden="1" outlineLevel="2" x14ac:dyDescent="0.2">
      <c r="J392" s="56"/>
      <c r="K392" s="56"/>
      <c r="L392" s="56"/>
      <c r="M392" s="56"/>
      <c r="N392" s="56"/>
    </row>
    <row r="393" spans="2:24" hidden="1" outlineLevel="2" x14ac:dyDescent="0.2">
      <c r="D393" s="245"/>
      <c r="E393" s="6"/>
      <c r="F393" s="6"/>
      <c r="G393" s="6"/>
      <c r="H393" s="6"/>
      <c r="J393" s="121"/>
      <c r="K393" s="121"/>
      <c r="L393" s="136"/>
      <c r="M393" s="136"/>
      <c r="N393" s="136"/>
    </row>
    <row r="394" spans="2:24" hidden="1" outlineLevel="2" x14ac:dyDescent="0.2">
      <c r="D394" s="6"/>
      <c r="E394" s="6"/>
      <c r="F394" s="6"/>
      <c r="G394" s="6"/>
      <c r="H394" s="6"/>
    </row>
    <row r="395" spans="2:24" hidden="1" outlineLevel="2" x14ac:dyDescent="0.2">
      <c r="D395" s="245"/>
      <c r="E395" s="6"/>
      <c r="F395" s="6"/>
      <c r="G395" s="6"/>
      <c r="H395" s="52"/>
    </row>
    <row r="396" spans="2:24" hidden="1" outlineLevel="2" x14ac:dyDescent="0.2"/>
    <row r="397" spans="2:24" hidden="1" outlineLevel="2" x14ac:dyDescent="0.2">
      <c r="D397" s="246"/>
      <c r="J397" s="97"/>
      <c r="K397" s="97"/>
      <c r="L397" s="247"/>
      <c r="M397" s="248"/>
      <c r="N397" s="249"/>
    </row>
    <row r="398" spans="2:24" hidden="1" outlineLevel="2" x14ac:dyDescent="0.2">
      <c r="E398"/>
      <c r="F398"/>
      <c r="G398"/>
      <c r="H398"/>
      <c r="J398" s="97"/>
      <c r="K398" s="97"/>
      <c r="L398" s="247"/>
      <c r="M398" s="248"/>
      <c r="N398" s="249"/>
    </row>
    <row r="399" spans="2:24" hidden="1" outlineLevel="2" x14ac:dyDescent="0.2">
      <c r="D399" s="245"/>
      <c r="E399" s="6"/>
      <c r="F399" s="6"/>
      <c r="G399" s="6"/>
      <c r="H399" s="6"/>
      <c r="I399" s="6"/>
      <c r="J399" s="97"/>
      <c r="K399" s="97"/>
      <c r="L399" s="247"/>
      <c r="M399" s="248"/>
      <c r="N399" s="249"/>
    </row>
    <row r="400" spans="2:24" hidden="1" outlineLevel="2" x14ac:dyDescent="0.2">
      <c r="J400" s="234"/>
      <c r="K400" s="234"/>
      <c r="L400" s="250"/>
      <c r="M400" s="250"/>
      <c r="N400" s="250"/>
    </row>
    <row r="401" spans="2:14" hidden="1" outlineLevel="2" x14ac:dyDescent="0.2">
      <c r="J401" s="123"/>
      <c r="K401" s="123"/>
      <c r="L401" s="63"/>
      <c r="M401" s="63"/>
      <c r="N401" s="63"/>
    </row>
    <row r="402" spans="2:14" hidden="1" outlineLevel="2" x14ac:dyDescent="0.2">
      <c r="J402" s="47"/>
      <c r="K402" s="63"/>
      <c r="L402" s="63"/>
      <c r="M402" s="63"/>
      <c r="N402" s="63"/>
    </row>
    <row r="403" spans="2:14" hidden="1" outlineLevel="2" x14ac:dyDescent="0.2">
      <c r="E403"/>
      <c r="F403"/>
      <c r="G403"/>
      <c r="H403"/>
      <c r="I403"/>
      <c r="J403"/>
      <c r="K403"/>
      <c r="L403"/>
      <c r="M403"/>
      <c r="N403"/>
    </row>
    <row r="404" spans="2:14" hidden="1" outlineLevel="2" x14ac:dyDescent="0.2"/>
    <row r="405" spans="2:14" hidden="1" outlineLevel="2" x14ac:dyDescent="0.2"/>
    <row r="406" spans="2:14" hidden="1" outlineLevel="2" x14ac:dyDescent="0.2"/>
    <row r="407" spans="2:14" hidden="1" outlineLevel="2" x14ac:dyDescent="0.2">
      <c r="B407" s="233"/>
      <c r="C407" s="233"/>
      <c r="D407" s="233"/>
    </row>
    <row r="408" spans="2:14" hidden="1" outlineLevel="2" x14ac:dyDescent="0.2">
      <c r="J408" s="56"/>
      <c r="K408" s="56"/>
      <c r="L408" s="56"/>
      <c r="M408" s="56"/>
      <c r="N408" s="56"/>
    </row>
    <row r="409" spans="2:14" hidden="1" outlineLevel="2" x14ac:dyDescent="0.2">
      <c r="D409" s="251"/>
      <c r="E409" s="6"/>
      <c r="F409" s="6"/>
      <c r="G409" s="6"/>
      <c r="H409" s="6"/>
      <c r="J409" s="121"/>
      <c r="K409" s="121"/>
      <c r="L409" s="136"/>
      <c r="M409" s="136"/>
      <c r="N409" s="136"/>
    </row>
    <row r="410" spans="2:14" hidden="1" outlineLevel="2" x14ac:dyDescent="0.2">
      <c r="D410" s="6"/>
      <c r="E410" s="6"/>
      <c r="F410" s="6"/>
      <c r="G410" s="6"/>
      <c r="H410" s="6"/>
    </row>
    <row r="411" spans="2:14" hidden="1" outlineLevel="2" x14ac:dyDescent="0.2">
      <c r="D411" s="6"/>
      <c r="E411" s="6"/>
      <c r="F411" s="6"/>
      <c r="G411" s="6"/>
      <c r="H411" s="251"/>
    </row>
    <row r="412" spans="2:14" hidden="1" outlineLevel="2" x14ac:dyDescent="0.2"/>
    <row r="413" spans="2:14" hidden="1" outlineLevel="2" x14ac:dyDescent="0.2">
      <c r="J413" s="176"/>
      <c r="K413" s="176"/>
      <c r="L413" s="247"/>
      <c r="M413" s="248"/>
      <c r="N413" s="249"/>
    </row>
    <row r="414" spans="2:14" hidden="1" outlineLevel="2" x14ac:dyDescent="0.2">
      <c r="E414"/>
      <c r="F414"/>
      <c r="G414"/>
      <c r="H414"/>
      <c r="J414" s="176"/>
      <c r="K414" s="176"/>
      <c r="L414" s="247"/>
      <c r="M414" s="248"/>
      <c r="N414" s="249"/>
    </row>
    <row r="415" spans="2:14" hidden="1" outlineLevel="2" x14ac:dyDescent="0.2">
      <c r="D415" s="6"/>
      <c r="E415" s="6"/>
      <c r="F415" s="6"/>
      <c r="G415" s="6"/>
      <c r="H415" s="6"/>
      <c r="I415" s="6"/>
      <c r="J415" s="176"/>
      <c r="K415" s="176"/>
      <c r="L415" s="247"/>
      <c r="M415" s="248"/>
      <c r="N415" s="249"/>
    </row>
    <row r="416" spans="2:14" hidden="1" outlineLevel="2" x14ac:dyDescent="0.2">
      <c r="J416" s="252"/>
      <c r="K416" s="252"/>
      <c r="L416" s="250"/>
      <c r="M416" s="250"/>
      <c r="N416" s="250"/>
    </row>
    <row r="417" spans="1:15" hidden="1" outlineLevel="2" x14ac:dyDescent="0.2">
      <c r="J417" s="123"/>
      <c r="K417" s="123"/>
      <c r="L417" s="63"/>
      <c r="M417" s="63"/>
      <c r="N417" s="63"/>
    </row>
    <row r="418" spans="1:15" hidden="1" outlineLevel="2" x14ac:dyDescent="0.2">
      <c r="J418" s="47"/>
      <c r="K418" s="63"/>
      <c r="L418" s="63"/>
      <c r="M418" s="63"/>
      <c r="N418" s="63"/>
    </row>
    <row r="419" spans="1:15" hidden="1" outlineLevel="2" x14ac:dyDescent="0.2"/>
    <row r="420" spans="1:15" hidden="1" outlineLevel="2" x14ac:dyDescent="0.2"/>
    <row r="421" spans="1:15" hidden="1" outlineLevel="2" x14ac:dyDescent="0.2"/>
    <row r="422" spans="1:15" hidden="1" outlineLevel="2" x14ac:dyDescent="0.2">
      <c r="E422"/>
      <c r="F422"/>
      <c r="G422"/>
      <c r="H422"/>
      <c r="I422"/>
      <c r="J422"/>
      <c r="K422"/>
      <c r="L422"/>
      <c r="M422"/>
      <c r="N422"/>
      <c r="O422"/>
    </row>
    <row r="423" spans="1:15" hidden="1" outlineLevel="2" x14ac:dyDescent="0.2">
      <c r="A423" s="189"/>
      <c r="B423" s="189"/>
      <c r="C423" s="189"/>
    </row>
    <row r="424" spans="1:15" hidden="1" outlineLevel="2" x14ac:dyDescent="0.2">
      <c r="B424" s="233"/>
      <c r="C424" s="233"/>
      <c r="D424" s="233"/>
    </row>
    <row r="425" spans="1:15" ht="15" hidden="1" customHeight="1" outlineLevel="2" x14ac:dyDescent="0.2">
      <c r="D425" s="6"/>
      <c r="E425" s="6"/>
      <c r="F425" s="6"/>
      <c r="G425" s="6"/>
      <c r="H425" s="6"/>
      <c r="J425" s="56"/>
      <c r="K425" s="56"/>
      <c r="L425" s="56"/>
      <c r="M425" s="56"/>
      <c r="N425" s="56"/>
    </row>
    <row r="426" spans="1:15" ht="15" hidden="1" customHeight="1" outlineLevel="2" x14ac:dyDescent="0.2">
      <c r="D426" s="6"/>
      <c r="E426" s="6"/>
      <c r="F426" s="6"/>
      <c r="G426" s="6"/>
      <c r="H426" s="6"/>
      <c r="J426" s="121"/>
      <c r="K426" s="121"/>
      <c r="L426" s="136"/>
      <c r="M426" s="136"/>
      <c r="N426" s="136"/>
    </row>
    <row r="427" spans="1:15" ht="15" hidden="1" customHeight="1" outlineLevel="2" x14ac:dyDescent="0.2">
      <c r="D427" s="6"/>
      <c r="E427" s="6"/>
      <c r="F427" s="6"/>
      <c r="G427" s="6"/>
      <c r="H427" s="6"/>
    </row>
    <row r="428" spans="1:15" ht="15" hidden="1" customHeight="1" outlineLevel="2" x14ac:dyDescent="0.2"/>
    <row r="429" spans="1:15" ht="15" hidden="1" customHeight="1" outlineLevel="2" x14ac:dyDescent="0.2">
      <c r="J429" s="60"/>
      <c r="K429" s="60"/>
      <c r="L429" s="253"/>
      <c r="M429" s="254"/>
      <c r="N429" s="255"/>
    </row>
    <row r="430" spans="1:15" ht="15" hidden="1" customHeight="1" outlineLevel="2" x14ac:dyDescent="0.2">
      <c r="E430"/>
      <c r="F430"/>
      <c r="G430"/>
      <c r="H430"/>
      <c r="J430" s="60"/>
      <c r="K430" s="60"/>
      <c r="L430" s="253"/>
      <c r="M430" s="254"/>
      <c r="N430" s="255"/>
    </row>
    <row r="431" spans="1:15" ht="15" hidden="1" customHeight="1" outlineLevel="2" x14ac:dyDescent="0.2">
      <c r="D431" s="6"/>
      <c r="E431" s="6"/>
      <c r="F431" s="6"/>
      <c r="G431" s="6"/>
      <c r="H431" s="6"/>
      <c r="J431" s="60"/>
      <c r="K431" s="60"/>
      <c r="L431" s="253"/>
      <c r="M431" s="254"/>
      <c r="N431" s="255"/>
    </row>
    <row r="432" spans="1:15" hidden="1" outlineLevel="2" x14ac:dyDescent="0.2">
      <c r="J432" s="123"/>
      <c r="K432" s="123"/>
      <c r="L432" s="60"/>
      <c r="M432" s="60"/>
      <c r="N432" s="60"/>
    </row>
    <row r="433" spans="1:16" hidden="1" outlineLevel="2" x14ac:dyDescent="0.2">
      <c r="J433" s="123"/>
      <c r="K433" s="123"/>
      <c r="L433" s="63"/>
      <c r="M433" s="63"/>
      <c r="N433" s="63"/>
    </row>
    <row r="434" spans="1:16" hidden="1" outlineLevel="2" x14ac:dyDescent="0.2">
      <c r="J434" s="47"/>
      <c r="K434" s="63"/>
      <c r="L434" s="63"/>
      <c r="M434" s="63"/>
      <c r="N434" s="63"/>
    </row>
    <row r="435" spans="1:16" hidden="1" outlineLevel="2" x14ac:dyDescent="0.2">
      <c r="E435"/>
      <c r="F435"/>
      <c r="G435"/>
      <c r="H435"/>
      <c r="I435"/>
      <c r="J435"/>
      <c r="K435"/>
      <c r="L435"/>
      <c r="M435"/>
      <c r="N435"/>
    </row>
    <row r="436" spans="1:16" hidden="1" outlineLevel="2" x14ac:dyDescent="0.2">
      <c r="E436"/>
      <c r="F436"/>
      <c r="G436"/>
      <c r="H436"/>
      <c r="I436"/>
      <c r="J436"/>
      <c r="K436"/>
      <c r="L436"/>
      <c r="M436"/>
      <c r="N436"/>
    </row>
    <row r="437" spans="1:16" hidden="1" outlineLevel="2" x14ac:dyDescent="0.2">
      <c r="A437" s="189">
        <v>890</v>
      </c>
      <c r="B437" s="189" t="s">
        <v>120</v>
      </c>
      <c r="P437"/>
    </row>
    <row r="438" spans="1:16" hidden="1" outlineLevel="2" x14ac:dyDescent="0.2">
      <c r="B438" s="233"/>
      <c r="C438" s="233"/>
      <c r="D438" s="233" t="s">
        <v>67</v>
      </c>
      <c r="E438" s="12" t="s">
        <v>68</v>
      </c>
      <c r="F438" s="12" t="s">
        <v>69</v>
      </c>
      <c r="G438" s="12" t="s">
        <v>70</v>
      </c>
      <c r="H438" s="12" t="s">
        <v>71</v>
      </c>
      <c r="J438" s="12" t="s">
        <v>105</v>
      </c>
      <c r="K438" s="12" t="s">
        <v>106</v>
      </c>
      <c r="L438" s="12" t="s">
        <v>107</v>
      </c>
      <c r="M438" s="12" t="s">
        <v>107</v>
      </c>
      <c r="N438" s="12" t="s">
        <v>107</v>
      </c>
      <c r="O438" s="12" t="s">
        <v>118</v>
      </c>
      <c r="P438"/>
    </row>
    <row r="439" spans="1:16" hidden="1" outlineLevel="2" x14ac:dyDescent="0.2">
      <c r="B439" t="s">
        <v>108</v>
      </c>
      <c r="C439" t="s">
        <v>121</v>
      </c>
      <c r="D439" s="6" t="s">
        <v>122</v>
      </c>
      <c r="E439" s="6" t="s">
        <v>122</v>
      </c>
      <c r="F439" s="6" t="s">
        <v>122</v>
      </c>
      <c r="G439" s="6" t="s">
        <v>122</v>
      </c>
      <c r="H439" s="6" t="s">
        <v>122</v>
      </c>
      <c r="J439" s="56" t="s">
        <v>111</v>
      </c>
      <c r="K439" s="56" t="s">
        <v>111</v>
      </c>
      <c r="L439" s="56" t="s">
        <v>112</v>
      </c>
      <c r="M439" s="56" t="s">
        <v>111</v>
      </c>
      <c r="N439" s="56" t="s">
        <v>111</v>
      </c>
      <c r="P439"/>
    </row>
    <row r="440" spans="1:16" hidden="1" outlineLevel="2" x14ac:dyDescent="0.2">
      <c r="B440" t="s">
        <v>108</v>
      </c>
      <c r="C440" t="s">
        <v>123</v>
      </c>
      <c r="D440" s="6" t="s">
        <v>122</v>
      </c>
      <c r="E440" s="6" t="s">
        <v>122</v>
      </c>
      <c r="F440" s="6" t="s">
        <v>122</v>
      </c>
      <c r="G440" s="6" t="s">
        <v>122</v>
      </c>
      <c r="H440" s="6" t="s">
        <v>122</v>
      </c>
      <c r="J440" s="121"/>
      <c r="K440" s="121"/>
      <c r="L440" s="136" t="s">
        <v>9</v>
      </c>
      <c r="M440" s="136" t="s">
        <v>10</v>
      </c>
      <c r="N440" s="136" t="s">
        <v>115</v>
      </c>
      <c r="P440"/>
    </row>
    <row r="441" spans="1:16" hidden="1" outlineLevel="2" x14ac:dyDescent="0.2">
      <c r="B441" t="s">
        <v>113</v>
      </c>
      <c r="C441" t="s">
        <v>114</v>
      </c>
      <c r="D441" s="6" t="s">
        <v>122</v>
      </c>
      <c r="E441" s="6" t="s">
        <v>122</v>
      </c>
      <c r="F441" s="6" t="s">
        <v>122</v>
      </c>
      <c r="G441" s="6" t="s">
        <v>122</v>
      </c>
      <c r="H441" s="6" t="s">
        <v>122</v>
      </c>
      <c r="M441" s="12" t="s">
        <v>124</v>
      </c>
      <c r="P441"/>
    </row>
    <row r="442" spans="1:16" hidden="1" outlineLevel="2" x14ac:dyDescent="0.2">
      <c r="P442"/>
    </row>
    <row r="443" spans="1:16" hidden="1" outlineLevel="2" x14ac:dyDescent="0.2">
      <c r="B443" t="s">
        <v>72</v>
      </c>
      <c r="D443">
        <v>1</v>
      </c>
      <c r="E443" s="12">
        <v>1</v>
      </c>
      <c r="F443" s="12">
        <v>1</v>
      </c>
      <c r="G443" s="12">
        <v>1</v>
      </c>
      <c r="H443" s="12">
        <v>1</v>
      </c>
      <c r="J443" s="60">
        <v>200</v>
      </c>
      <c r="K443" s="60">
        <v>630</v>
      </c>
      <c r="L443" s="253">
        <v>830</v>
      </c>
      <c r="M443" s="254">
        <v>620</v>
      </c>
      <c r="N443" s="255">
        <v>200</v>
      </c>
      <c r="P443"/>
    </row>
    <row r="444" spans="1:16" hidden="1" outlineLevel="2" x14ac:dyDescent="0.2">
      <c r="B444" t="s">
        <v>73</v>
      </c>
      <c r="D444">
        <v>4.75</v>
      </c>
      <c r="E444">
        <v>4.75</v>
      </c>
      <c r="F444">
        <v>4.75</v>
      </c>
      <c r="G444">
        <v>4.75</v>
      </c>
      <c r="H444">
        <v>4.75</v>
      </c>
      <c r="J444" s="60">
        <v>950</v>
      </c>
      <c r="K444" s="60">
        <v>630</v>
      </c>
      <c r="L444" s="253">
        <v>1580</v>
      </c>
      <c r="M444" s="254">
        <v>1370</v>
      </c>
      <c r="N444" s="255">
        <v>950</v>
      </c>
      <c r="P444"/>
    </row>
    <row r="445" spans="1:16" hidden="1" outlineLevel="2" x14ac:dyDescent="0.2">
      <c r="B445" t="s">
        <v>74</v>
      </c>
      <c r="D445" s="6">
        <v>3.75</v>
      </c>
      <c r="E445" s="6">
        <v>3.75</v>
      </c>
      <c r="F445" s="6">
        <v>3.75</v>
      </c>
      <c r="G445" s="6">
        <v>3.75</v>
      </c>
      <c r="H445" s="6">
        <v>3.75</v>
      </c>
      <c r="J445" s="60">
        <v>750</v>
      </c>
      <c r="K445" s="60">
        <v>630</v>
      </c>
      <c r="L445" s="253">
        <v>1380</v>
      </c>
      <c r="M445" s="254">
        <v>1170</v>
      </c>
      <c r="N445" s="255">
        <v>750</v>
      </c>
      <c r="P445"/>
    </row>
    <row r="446" spans="1:16" hidden="1" outlineLevel="2" x14ac:dyDescent="0.2">
      <c r="J446" s="123"/>
      <c r="K446" s="123" t="s">
        <v>75</v>
      </c>
      <c r="L446" s="60">
        <v>1365</v>
      </c>
      <c r="M446" s="60">
        <v>1155</v>
      </c>
      <c r="N446" s="60">
        <v>735</v>
      </c>
      <c r="P446"/>
    </row>
    <row r="447" spans="1:16" hidden="1" outlineLevel="2" x14ac:dyDescent="0.2">
      <c r="J447" s="123"/>
      <c r="K447" s="123" t="s">
        <v>95</v>
      </c>
      <c r="L447" s="63">
        <v>-2.1929824561403508E-3</v>
      </c>
      <c r="M447" s="63">
        <v>-0.15570175438596492</v>
      </c>
      <c r="N447" s="63">
        <v>-0.46271929824561403</v>
      </c>
      <c r="P447"/>
    </row>
    <row r="448" spans="1:16" hidden="1" outlineLevel="2" x14ac:dyDescent="0.2">
      <c r="J448" s="47"/>
      <c r="K448" s="63" t="s">
        <v>96</v>
      </c>
      <c r="L448" s="63">
        <v>-2.1929824561403508E-3</v>
      </c>
      <c r="M448" s="63">
        <v>-0.11348684210526316</v>
      </c>
      <c r="N448" s="63">
        <v>-0.39824561403508768</v>
      </c>
      <c r="P448"/>
    </row>
    <row r="449" spans="2:16" hidden="1" outlineLevel="2" x14ac:dyDescent="0.2">
      <c r="E449"/>
      <c r="F449"/>
      <c r="G449"/>
      <c r="H449"/>
      <c r="I449"/>
      <c r="J449"/>
      <c r="K449"/>
      <c r="L449"/>
      <c r="M449"/>
      <c r="N449"/>
      <c r="P449"/>
    </row>
    <row r="450" spans="2:16" hidden="1" outlineLevel="2" x14ac:dyDescent="0.2"/>
    <row r="451" spans="2:16" ht="15" hidden="1" outlineLevel="2" x14ac:dyDescent="0.2">
      <c r="B451" s="256" t="s">
        <v>125</v>
      </c>
      <c r="I451" s="12">
        <v>27</v>
      </c>
      <c r="J451" s="12" t="s">
        <v>59</v>
      </c>
    </row>
    <row r="452" spans="2:16" ht="15" hidden="1" outlineLevel="2" x14ac:dyDescent="0.2">
      <c r="B452" s="257" t="s">
        <v>126</v>
      </c>
      <c r="I452" s="12">
        <v>27</v>
      </c>
      <c r="J452" s="12" t="s">
        <v>59</v>
      </c>
    </row>
    <row r="453" spans="2:16" ht="15" hidden="1" outlineLevel="2" x14ac:dyDescent="0.2">
      <c r="B453" s="256" t="s">
        <v>127</v>
      </c>
      <c r="I453" s="12">
        <v>27</v>
      </c>
      <c r="J453" s="12" t="s">
        <v>59</v>
      </c>
    </row>
    <row r="454" spans="2:16" ht="15" hidden="1" outlineLevel="2" x14ac:dyDescent="0.2">
      <c r="B454" s="258"/>
    </row>
    <row r="455" spans="2:16" hidden="1" outlineLevel="2" x14ac:dyDescent="0.2"/>
    <row r="456" spans="2:16" hidden="1" outlineLevel="2" x14ac:dyDescent="0.2"/>
    <row r="457" spans="2:16" collapsed="1" x14ac:dyDescent="0.2"/>
  </sheetData>
  <autoFilter ref="A1:AO375" xr:uid="{00000000-0009-0000-0000-000007000000}"/>
  <pageMargins left="0.70866141732283472" right="0.70866141732283472" top="0.74803149606299213" bottom="0.74803149606299213" header="0.31496062992125984" footer="0.31496062992125984"/>
  <pageSetup paperSize="9" scale="83" orientation="landscape" r:id="rId1"/>
  <rowBreaks count="5" manualBreakCount="5">
    <brk id="118" max="13" man="1"/>
    <brk id="191" max="13" man="1"/>
    <brk id="277" max="13" man="1"/>
    <brk id="363" max="13" man="1"/>
    <brk id="374" max="29"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C1C7B570F0C942847ED21D6C934BD9" ma:contentTypeVersion="15" ma:contentTypeDescription="Een nieuw document maken." ma:contentTypeScope="" ma:versionID="9e258b2f4b4dc10f3b6d3c79c05448d5">
  <xsd:schema xmlns:xsd="http://www.w3.org/2001/XMLSchema" xmlns:xs="http://www.w3.org/2001/XMLSchema" xmlns:p="http://schemas.microsoft.com/office/2006/metadata/properties" xmlns:ns2="2041e89b-06c6-42b6-a69a-374f6c3aa86b" xmlns:ns3="fe4b2bb7-be11-4cf6-85d2-5b861276a924" targetNamespace="http://schemas.microsoft.com/office/2006/metadata/properties" ma:root="true" ma:fieldsID="302986c79b347697c859255acf9ea7bc" ns2:_="" ns3:_="">
    <xsd:import namespace="2041e89b-06c6-42b6-a69a-374f6c3aa86b"/>
    <xsd:import namespace="fe4b2bb7-be11-4cf6-85d2-5b861276a924"/>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41e89b-06c6-42b6-a69a-374f6c3a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6426e1e1-43d3-4886-a6cd-303771a44be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4b2bb7-be11-4cf6-85d2-5b861276a92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fd57edb-51d1-4e49-90ee-c376f9a61af0}" ma:internalName="TaxCatchAll" ma:showField="CatchAllData" ma:web="fe4b2bb7-be11-4cf6-85d2-5b861276a924">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e4b2bb7-be11-4cf6-85d2-5b861276a924" xsi:nil="true"/>
    <lcf76f155ced4ddcb4097134ff3c332f xmlns="2041e89b-06c6-42b6-a69a-374f6c3aa8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ACA6B12-BA56-435E-A2C0-B0F1E56847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41e89b-06c6-42b6-a69a-374f6c3aa86b"/>
    <ds:schemaRef ds:uri="fe4b2bb7-be11-4cf6-85d2-5b861276a9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6D5F4B-DB7E-40C3-ACBF-866532FCBD2E}">
  <ds:schemaRefs>
    <ds:schemaRef ds:uri="http://schemas.microsoft.com/sharepoint/v3/contenttype/forms"/>
  </ds:schemaRefs>
</ds:datastoreItem>
</file>

<file path=customXml/itemProps3.xml><?xml version="1.0" encoding="utf-8"?>
<ds:datastoreItem xmlns:ds="http://schemas.openxmlformats.org/officeDocument/2006/customXml" ds:itemID="{A516EBDB-B66C-4A7C-91A1-8F809CE2EC04}">
  <ds:schemaRefs>
    <ds:schemaRef ds:uri="http://schemas.microsoft.com/office/2006/metadata/properties"/>
    <ds:schemaRef ds:uri="http://schemas.microsoft.com/office/infopath/2007/PartnerControls"/>
    <ds:schemaRef ds:uri="fe4b2bb7-be11-4cf6-85d2-5b861276a924"/>
    <ds:schemaRef ds:uri="2041e89b-06c6-42b6-a69a-374f6c3aa86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1</vt:i4>
      </vt:variant>
    </vt:vector>
  </HeadingPairs>
  <TitlesOfParts>
    <vt:vector size="7" baseType="lpstr">
      <vt:lpstr>Voorbeeldberekening</vt:lpstr>
      <vt:lpstr>Tabel 2026 52 weken</vt:lpstr>
      <vt:lpstr>Tabel 2026 48 weken</vt:lpstr>
      <vt:lpstr>Tabel 2026 40 weken</vt:lpstr>
      <vt:lpstr>NIET Flexibel 2026</vt:lpstr>
      <vt:lpstr>Schooltijden</vt:lpstr>
      <vt:lpstr>Voorbeeldberekening!Afdrukbereik</vt:lpstr>
    </vt:vector>
  </TitlesOfParts>
  <Manager/>
  <Company>Kinderopvang De Eerste Stap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Bard Evers</dc:creator>
  <cp:keywords/>
  <dc:description/>
  <cp:lastModifiedBy>Nathalie Gloudemans</cp:lastModifiedBy>
  <cp:revision/>
  <dcterms:created xsi:type="dcterms:W3CDTF">2011-09-27T07:14:59Z</dcterms:created>
  <dcterms:modified xsi:type="dcterms:W3CDTF">2025-11-12T21:03:30Z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0x01010087C1C7B570F0C942847ED21D6C934BD9</vt:lpwstr>
  </property>
  <property fmtid="{D5CDD505-2E9C-101B-9397-08002B2CF9AE}" pid="3" name="Order">
    <vt:r8>1579600</vt:r8>
  </property>
  <property fmtid="{D5CDD505-2E9C-101B-9397-08002B2CF9AE}" pid="4" name="MediaServiceImageTags">
    <vt:lpwstr/>
  </property>
</Properties>
</file>