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4"/>
  <workbookPr defaultThemeVersion="124226"/>
  <mc:AlternateContent xmlns:mc="http://schemas.openxmlformats.org/markup-compatibility/2006">
    <mc:Choice Requires="x15">
      <x15ac:absPath xmlns:x15ac="http://schemas.microsoft.com/office/spreadsheetml/2010/11/ac" url="https://kovdeeerstestap.sharepoint.com/sites/KinderopvangdeEersteStap/Gedeelde documenten/General/Financien/30 Rekenmodel/2025/"/>
    </mc:Choice>
  </mc:AlternateContent>
  <xr:revisionPtr revIDLastSave="320" documentId="11_58272C462B73D4A140E74B63A7008E5B1623197C" xr6:coauthVersionLast="47" xr6:coauthVersionMax="47" xr10:uidLastSave="{7DA09974-A87E-46E4-A7D0-311206192D97}"/>
  <workbookProtection workbookAlgorithmName="SHA-512" workbookHashValue="5j6CFskQtPIqBgX06uw+W5FpABpMlqBS0OxbCIyDH2DkqooQz8gzgLo/qe8g5Xt3L4Re3e/GGFgnNlky88eZEg==" workbookSaltValue="tKVPGkRgYr3qir7v7cBi0g==" workbookSpinCount="100000" lockStructure="1"/>
  <bookViews>
    <workbookView xWindow="-120" yWindow="-120" windowWidth="29040" windowHeight="15720" tabRatio="739" xr2:uid="{00000000-000D-0000-FFFF-FFFF00000000}"/>
  </bookViews>
  <sheets>
    <sheet name="Voorbeeldberekening" sheetId="4" r:id="rId1"/>
    <sheet name="Tabel 2025 52 weken incl. 27" sheetId="21" state="hidden" r:id="rId2"/>
    <sheet name="Tabel 2025 52 weken" sheetId="17" state="hidden" r:id="rId3"/>
    <sheet name="Tabel 2025 48 weken" sheetId="18" state="hidden" r:id="rId4"/>
    <sheet name="Tabel 2025 40 weken" sheetId="19" state="hidden" r:id="rId5"/>
    <sheet name="Flexibel 2025" sheetId="20" state="hidden" r:id="rId6"/>
    <sheet name="Lijst scholen" sheetId="5" state="hidden" r:id="rId7"/>
    <sheet name="Schooltijden" sheetId="1" state="hidden" r:id="rId8"/>
  </sheets>
  <definedNames>
    <definedName name="_xlnm._FilterDatabase" localSheetId="7" hidden="1">Schooltijden!$A$1:$AO$379</definedName>
    <definedName name="_xlnm._FilterDatabase" localSheetId="0" hidden="1">Voorbeeldberekening!#REF!</definedName>
    <definedName name="_xlnm.Print_Area" localSheetId="7">Schooltijden!#REF!</definedName>
    <definedName name="_xlnm.Print_Area" localSheetId="0">Voorbeeldberekening!$A$1:$J$62</definedName>
    <definedName name="Opvangvorm">'Lijst scholen'!#REF!</definedName>
    <definedName name="Scholen">'Lijst scholen'!#REF!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4" l="1"/>
  <c r="G41" i="4"/>
  <c r="E41" i="4"/>
  <c r="F46" i="4"/>
  <c r="G46" i="4"/>
  <c r="E46" i="4"/>
  <c r="F51" i="4"/>
  <c r="G51" i="4"/>
  <c r="E51" i="4"/>
  <c r="L245" i="1"/>
  <c r="J252" i="1"/>
  <c r="M252" i="1" s="1"/>
  <c r="D253" i="1"/>
  <c r="E253" i="1"/>
  <c r="F253" i="1"/>
  <c r="G253" i="1"/>
  <c r="H253" i="1"/>
  <c r="J254" i="1"/>
  <c r="J253" i="1" s="1"/>
  <c r="N254" i="1"/>
  <c r="M254" i="1" l="1"/>
  <c r="N252" i="1"/>
  <c r="M253" i="1"/>
  <c r="M255" i="1" s="1"/>
  <c r="N253" i="1"/>
  <c r="N255" i="1" s="1"/>
  <c r="A104" i="21" l="1"/>
  <c r="B27" i="21" l="1"/>
  <c r="D33" i="20" l="1"/>
  <c r="D34" i="20"/>
  <c r="D35" i="20"/>
  <c r="D36" i="20"/>
  <c r="D37" i="20"/>
  <c r="D38" i="20"/>
  <c r="D39" i="20"/>
  <c r="D40" i="20"/>
  <c r="D41" i="20"/>
  <c r="D42" i="20"/>
  <c r="D43" i="20"/>
  <c r="D44" i="20"/>
  <c r="D45" i="20"/>
  <c r="D46" i="20"/>
  <c r="D47" i="20"/>
  <c r="D48" i="20"/>
  <c r="D49" i="20"/>
  <c r="D50" i="20"/>
  <c r="D51" i="20"/>
  <c r="D52" i="20"/>
  <c r="D53" i="20"/>
  <c r="D54" i="20"/>
  <c r="D55" i="20"/>
  <c r="D56" i="20"/>
  <c r="D57" i="20"/>
  <c r="D58" i="20"/>
  <c r="D59" i="20"/>
  <c r="D60" i="20"/>
  <c r="D61" i="20"/>
  <c r="D62" i="20"/>
  <c r="D63" i="20"/>
  <c r="D64" i="20"/>
  <c r="D65" i="20"/>
  <c r="D66" i="20"/>
  <c r="D67" i="20"/>
  <c r="D68" i="20"/>
  <c r="D69" i="20"/>
  <c r="D70" i="20"/>
  <c r="D71" i="20"/>
  <c r="D72" i="20"/>
  <c r="D73" i="20"/>
  <c r="D74" i="20"/>
  <c r="D75" i="20"/>
  <c r="D76" i="20"/>
  <c r="D77" i="20"/>
  <c r="D78" i="20"/>
  <c r="D79" i="20"/>
  <c r="D80" i="20"/>
  <c r="D81" i="20"/>
  <c r="D82" i="20"/>
  <c r="D83" i="20"/>
  <c r="D84" i="20"/>
  <c r="D85" i="20"/>
  <c r="D86" i="20"/>
  <c r="D87" i="20"/>
  <c r="D88" i="20"/>
  <c r="D89" i="20"/>
  <c r="D90" i="20"/>
  <c r="D91" i="20"/>
  <c r="D92" i="20"/>
  <c r="D93" i="20"/>
  <c r="D94" i="20"/>
  <c r="D95" i="20"/>
  <c r="D96" i="20"/>
  <c r="D97" i="20"/>
  <c r="D98" i="20"/>
  <c r="D99" i="20"/>
  <c r="D100" i="20"/>
  <c r="D101" i="20"/>
  <c r="F20" i="21" l="1"/>
  <c r="F19" i="21"/>
  <c r="J34" i="17"/>
  <c r="J35" i="17"/>
  <c r="J36" i="17"/>
  <c r="J37" i="17"/>
  <c r="J38" i="17"/>
  <c r="J39" i="17"/>
  <c r="J40" i="17"/>
  <c r="J41" i="17"/>
  <c r="J42" i="17"/>
  <c r="J43" i="17"/>
  <c r="J44" i="17"/>
  <c r="J45" i="17"/>
  <c r="J46" i="17"/>
  <c r="J47" i="17"/>
  <c r="J48" i="17"/>
  <c r="J49" i="17"/>
  <c r="J50" i="17"/>
  <c r="J51" i="17"/>
  <c r="J52" i="17"/>
  <c r="J53" i="17"/>
  <c r="J54" i="17"/>
  <c r="J55" i="17"/>
  <c r="J56" i="17"/>
  <c r="J57" i="17"/>
  <c r="J58" i="17"/>
  <c r="J59" i="17"/>
  <c r="J60" i="17"/>
  <c r="J61" i="17"/>
  <c r="J62" i="17"/>
  <c r="J63" i="17"/>
  <c r="J64" i="17"/>
  <c r="J65" i="17"/>
  <c r="J66" i="17"/>
  <c r="J67" i="17"/>
  <c r="J68" i="17"/>
  <c r="J69" i="17"/>
  <c r="J70" i="17"/>
  <c r="J71" i="17"/>
  <c r="J72" i="17"/>
  <c r="J73" i="17"/>
  <c r="J74" i="17"/>
  <c r="J75" i="17"/>
  <c r="J76" i="17"/>
  <c r="J77" i="17"/>
  <c r="J78" i="17"/>
  <c r="J79" i="17"/>
  <c r="J80" i="17"/>
  <c r="J81" i="17"/>
  <c r="J82" i="17"/>
  <c r="J83" i="17"/>
  <c r="J84" i="17"/>
  <c r="J85" i="17"/>
  <c r="J86" i="17"/>
  <c r="J87" i="17"/>
  <c r="J88" i="17"/>
  <c r="J89" i="17"/>
  <c r="J90" i="17"/>
  <c r="J91" i="17"/>
  <c r="J92" i="17"/>
  <c r="J93" i="17"/>
  <c r="J94" i="17"/>
  <c r="J95" i="17"/>
  <c r="J96" i="17"/>
  <c r="J97" i="17"/>
  <c r="J98" i="17"/>
  <c r="J99" i="17"/>
  <c r="J100" i="17"/>
  <c r="J101" i="17"/>
  <c r="J101" i="19" s="1"/>
  <c r="J33" i="17"/>
  <c r="J34" i="18"/>
  <c r="J35" i="18"/>
  <c r="J36" i="18"/>
  <c r="J37" i="18"/>
  <c r="J38" i="18"/>
  <c r="J39" i="18"/>
  <c r="J40" i="18"/>
  <c r="J41" i="18"/>
  <c r="J42" i="18"/>
  <c r="J43" i="18"/>
  <c r="J44" i="18"/>
  <c r="J45" i="18"/>
  <c r="J46" i="18"/>
  <c r="J47" i="18"/>
  <c r="J48" i="18"/>
  <c r="J49" i="18"/>
  <c r="J50" i="18"/>
  <c r="J51" i="18"/>
  <c r="J52" i="18"/>
  <c r="J53" i="18"/>
  <c r="J54" i="18"/>
  <c r="J55" i="18"/>
  <c r="J56" i="18"/>
  <c r="J57" i="18"/>
  <c r="J58" i="18"/>
  <c r="J59" i="18"/>
  <c r="J60" i="18"/>
  <c r="J61" i="18"/>
  <c r="J62" i="18"/>
  <c r="J63" i="18"/>
  <c r="J64" i="18"/>
  <c r="J65" i="18"/>
  <c r="J66" i="18"/>
  <c r="J67" i="18"/>
  <c r="J68" i="18"/>
  <c r="J69" i="18"/>
  <c r="J70" i="18"/>
  <c r="J71" i="18"/>
  <c r="J72" i="18"/>
  <c r="J73" i="18"/>
  <c r="J74" i="18"/>
  <c r="J75" i="18"/>
  <c r="J76" i="18"/>
  <c r="J77" i="18"/>
  <c r="J78" i="18"/>
  <c r="J79" i="18"/>
  <c r="J80" i="18"/>
  <c r="J81" i="18"/>
  <c r="J82" i="18"/>
  <c r="J83" i="18"/>
  <c r="J84" i="18"/>
  <c r="J85" i="18"/>
  <c r="J86" i="18"/>
  <c r="J87" i="18"/>
  <c r="J88" i="18"/>
  <c r="J89" i="18"/>
  <c r="J90" i="18"/>
  <c r="J91" i="18"/>
  <c r="J92" i="18"/>
  <c r="J93" i="18"/>
  <c r="J94" i="18"/>
  <c r="J95" i="18"/>
  <c r="J96" i="18"/>
  <c r="J97" i="18"/>
  <c r="J98" i="18"/>
  <c r="J99" i="18"/>
  <c r="J100" i="18"/>
  <c r="J101" i="18"/>
  <c r="J33" i="18"/>
  <c r="J34" i="19"/>
  <c r="J35" i="19"/>
  <c r="J36" i="19"/>
  <c r="J37" i="19"/>
  <c r="J38" i="19"/>
  <c r="J39" i="19"/>
  <c r="J40" i="19"/>
  <c r="J41" i="19"/>
  <c r="J42" i="19"/>
  <c r="J43" i="19"/>
  <c r="J44" i="19"/>
  <c r="J45" i="19"/>
  <c r="J46" i="19"/>
  <c r="J47" i="19"/>
  <c r="J48" i="19"/>
  <c r="J49" i="19"/>
  <c r="J50" i="19"/>
  <c r="J51" i="19"/>
  <c r="J52" i="19"/>
  <c r="J53" i="19"/>
  <c r="J54" i="19"/>
  <c r="J55" i="19"/>
  <c r="J56" i="19"/>
  <c r="J57" i="19"/>
  <c r="J58" i="19"/>
  <c r="J59" i="19"/>
  <c r="J60" i="19"/>
  <c r="J61" i="19"/>
  <c r="J62" i="19"/>
  <c r="J63" i="19"/>
  <c r="J64" i="19"/>
  <c r="J65" i="19"/>
  <c r="J66" i="19"/>
  <c r="J67" i="19"/>
  <c r="J68" i="19"/>
  <c r="J69" i="19"/>
  <c r="J70" i="19"/>
  <c r="J71" i="19"/>
  <c r="J72" i="19"/>
  <c r="J73" i="19"/>
  <c r="J74" i="19"/>
  <c r="J75" i="19"/>
  <c r="J76" i="19"/>
  <c r="J77" i="19"/>
  <c r="J78" i="19"/>
  <c r="J79" i="19"/>
  <c r="J80" i="19"/>
  <c r="J81" i="19"/>
  <c r="J82" i="19"/>
  <c r="J83" i="19"/>
  <c r="J84" i="19"/>
  <c r="J85" i="19"/>
  <c r="J86" i="19"/>
  <c r="J87" i="19"/>
  <c r="J88" i="19"/>
  <c r="J89" i="19"/>
  <c r="J90" i="19"/>
  <c r="J91" i="19"/>
  <c r="J92" i="19"/>
  <c r="J93" i="19"/>
  <c r="J94" i="19"/>
  <c r="J95" i="19"/>
  <c r="J96" i="19"/>
  <c r="J97" i="19"/>
  <c r="J98" i="19"/>
  <c r="J99" i="19"/>
  <c r="J100" i="19"/>
  <c r="J33" i="19"/>
  <c r="J34" i="20"/>
  <c r="J35" i="20"/>
  <c r="J36" i="20"/>
  <c r="J37" i="20"/>
  <c r="J38" i="20"/>
  <c r="J39" i="20"/>
  <c r="J40" i="20"/>
  <c r="J41" i="20"/>
  <c r="J42" i="20"/>
  <c r="J43" i="20"/>
  <c r="J44" i="20"/>
  <c r="J45" i="20"/>
  <c r="J46" i="20"/>
  <c r="J47" i="20"/>
  <c r="J48" i="20"/>
  <c r="J49" i="20"/>
  <c r="J50" i="20"/>
  <c r="J51" i="20"/>
  <c r="J52" i="20"/>
  <c r="J53" i="20"/>
  <c r="J54" i="20"/>
  <c r="J55" i="20"/>
  <c r="J56" i="20"/>
  <c r="J57" i="20"/>
  <c r="J58" i="20"/>
  <c r="J59" i="20"/>
  <c r="J60" i="20"/>
  <c r="J61" i="20"/>
  <c r="J62" i="20"/>
  <c r="J63" i="20"/>
  <c r="J64" i="20"/>
  <c r="J65" i="20"/>
  <c r="J66" i="20"/>
  <c r="J67" i="20"/>
  <c r="J68" i="20"/>
  <c r="J69" i="20"/>
  <c r="J70" i="20"/>
  <c r="J71" i="20"/>
  <c r="J72" i="20"/>
  <c r="J73" i="20"/>
  <c r="J74" i="20"/>
  <c r="J75" i="20"/>
  <c r="J76" i="20"/>
  <c r="J77" i="20"/>
  <c r="J78" i="20"/>
  <c r="J79" i="20"/>
  <c r="J80" i="20"/>
  <c r="J81" i="20"/>
  <c r="J82" i="20"/>
  <c r="J83" i="20"/>
  <c r="J84" i="20"/>
  <c r="J85" i="20"/>
  <c r="J86" i="20"/>
  <c r="J87" i="20"/>
  <c r="J88" i="20"/>
  <c r="J89" i="20"/>
  <c r="J90" i="20"/>
  <c r="J91" i="20"/>
  <c r="J92" i="20"/>
  <c r="J93" i="20"/>
  <c r="J94" i="20"/>
  <c r="J95" i="20"/>
  <c r="J96" i="20"/>
  <c r="J97" i="20"/>
  <c r="J98" i="20"/>
  <c r="J99" i="20"/>
  <c r="J100" i="20"/>
  <c r="J101" i="20"/>
  <c r="J33" i="20"/>
  <c r="D20" i="17"/>
  <c r="D20" i="20" s="1"/>
  <c r="D19" i="17"/>
  <c r="A34" i="20"/>
  <c r="B34" i="20"/>
  <c r="A35" i="20"/>
  <c r="B35" i="20"/>
  <c r="A36" i="20"/>
  <c r="B36" i="20"/>
  <c r="A37" i="20"/>
  <c r="B37" i="20"/>
  <c r="A38" i="20"/>
  <c r="B38" i="20"/>
  <c r="A39" i="20"/>
  <c r="B39" i="20"/>
  <c r="A40" i="20"/>
  <c r="B40" i="20"/>
  <c r="A41" i="20"/>
  <c r="B41" i="20"/>
  <c r="A42" i="20"/>
  <c r="B42" i="20"/>
  <c r="A43" i="20"/>
  <c r="B43" i="20"/>
  <c r="A44" i="20"/>
  <c r="B44" i="20"/>
  <c r="A45" i="20"/>
  <c r="B45" i="20"/>
  <c r="A46" i="20"/>
  <c r="B46" i="20"/>
  <c r="A47" i="20"/>
  <c r="B47" i="20"/>
  <c r="A48" i="20"/>
  <c r="B48" i="20"/>
  <c r="A49" i="20"/>
  <c r="B49" i="20"/>
  <c r="A50" i="20"/>
  <c r="B50" i="20"/>
  <c r="A51" i="20"/>
  <c r="B51" i="20"/>
  <c r="A52" i="20"/>
  <c r="B52" i="20"/>
  <c r="A53" i="20"/>
  <c r="B53" i="20"/>
  <c r="A54" i="20"/>
  <c r="B54" i="20"/>
  <c r="A55" i="20"/>
  <c r="B55" i="20"/>
  <c r="A56" i="20"/>
  <c r="B56" i="20"/>
  <c r="A57" i="20"/>
  <c r="B57" i="20"/>
  <c r="A58" i="20"/>
  <c r="B58" i="20"/>
  <c r="A59" i="20"/>
  <c r="B59" i="20"/>
  <c r="A60" i="20"/>
  <c r="B60" i="20"/>
  <c r="A61" i="20"/>
  <c r="B61" i="20"/>
  <c r="A62" i="20"/>
  <c r="B62" i="20"/>
  <c r="A63" i="20"/>
  <c r="B63" i="20"/>
  <c r="A64" i="20"/>
  <c r="B64" i="20"/>
  <c r="A65" i="20"/>
  <c r="B65" i="20"/>
  <c r="A66" i="20"/>
  <c r="B66" i="20"/>
  <c r="A67" i="20"/>
  <c r="B67" i="20"/>
  <c r="A68" i="20"/>
  <c r="B68" i="20"/>
  <c r="A69" i="20"/>
  <c r="B69" i="20"/>
  <c r="A70" i="20"/>
  <c r="B70" i="20"/>
  <c r="A71" i="20"/>
  <c r="B71" i="20"/>
  <c r="A72" i="20"/>
  <c r="B72" i="20"/>
  <c r="A73" i="20"/>
  <c r="B73" i="20"/>
  <c r="A74" i="20"/>
  <c r="B74" i="20"/>
  <c r="A75" i="20"/>
  <c r="B75" i="20"/>
  <c r="A76" i="20"/>
  <c r="B76" i="20"/>
  <c r="A77" i="20"/>
  <c r="B77" i="20"/>
  <c r="A78" i="20"/>
  <c r="B78" i="20"/>
  <c r="A79" i="20"/>
  <c r="B79" i="20"/>
  <c r="A80" i="20"/>
  <c r="B80" i="20"/>
  <c r="A81" i="20"/>
  <c r="B81" i="20"/>
  <c r="A82" i="20"/>
  <c r="B82" i="20"/>
  <c r="A83" i="20"/>
  <c r="B83" i="20"/>
  <c r="A84" i="20"/>
  <c r="B84" i="20"/>
  <c r="A85" i="20"/>
  <c r="B85" i="20"/>
  <c r="A86" i="20"/>
  <c r="B86" i="20"/>
  <c r="A87" i="20"/>
  <c r="B87" i="20"/>
  <c r="A88" i="20"/>
  <c r="B88" i="20"/>
  <c r="A89" i="20"/>
  <c r="B89" i="20"/>
  <c r="A90" i="20"/>
  <c r="B90" i="20"/>
  <c r="A91" i="20"/>
  <c r="B91" i="20"/>
  <c r="A92" i="20"/>
  <c r="B92" i="20"/>
  <c r="A93" i="20"/>
  <c r="B93" i="20"/>
  <c r="A94" i="20"/>
  <c r="B94" i="20"/>
  <c r="A95" i="20"/>
  <c r="B95" i="20"/>
  <c r="A96" i="20"/>
  <c r="B96" i="20"/>
  <c r="A97" i="20"/>
  <c r="B97" i="20"/>
  <c r="A98" i="20"/>
  <c r="B98" i="20"/>
  <c r="A99" i="20"/>
  <c r="B99" i="20"/>
  <c r="A100" i="20"/>
  <c r="B100" i="20"/>
  <c r="A101" i="20"/>
  <c r="B101" i="20"/>
  <c r="B33" i="20"/>
  <c r="A33" i="20"/>
  <c r="A34" i="19"/>
  <c r="B34" i="19"/>
  <c r="D34" i="19"/>
  <c r="A35" i="19"/>
  <c r="B35" i="19"/>
  <c r="D35" i="19"/>
  <c r="A36" i="19"/>
  <c r="B36" i="19"/>
  <c r="D36" i="19"/>
  <c r="A37" i="19"/>
  <c r="B37" i="19"/>
  <c r="D37" i="19"/>
  <c r="A38" i="19"/>
  <c r="B38" i="19"/>
  <c r="D38" i="19"/>
  <c r="A39" i="19"/>
  <c r="B39" i="19"/>
  <c r="D39" i="19"/>
  <c r="A40" i="19"/>
  <c r="B40" i="19"/>
  <c r="D40" i="19"/>
  <c r="A41" i="19"/>
  <c r="B41" i="19"/>
  <c r="D41" i="19"/>
  <c r="A42" i="19"/>
  <c r="B42" i="19"/>
  <c r="D42" i="19"/>
  <c r="A43" i="19"/>
  <c r="B43" i="19"/>
  <c r="D43" i="19"/>
  <c r="A44" i="19"/>
  <c r="B44" i="19"/>
  <c r="D44" i="19"/>
  <c r="A45" i="19"/>
  <c r="B45" i="19"/>
  <c r="D45" i="19"/>
  <c r="A46" i="19"/>
  <c r="B46" i="19"/>
  <c r="D46" i="19"/>
  <c r="A47" i="19"/>
  <c r="B47" i="19"/>
  <c r="D47" i="19"/>
  <c r="A48" i="19"/>
  <c r="B48" i="19"/>
  <c r="D48" i="19"/>
  <c r="A49" i="19"/>
  <c r="B49" i="19"/>
  <c r="D49" i="19"/>
  <c r="A50" i="19"/>
  <c r="B50" i="19"/>
  <c r="D50" i="19"/>
  <c r="A51" i="19"/>
  <c r="B51" i="19"/>
  <c r="D51" i="19"/>
  <c r="A52" i="19"/>
  <c r="B52" i="19"/>
  <c r="D52" i="19"/>
  <c r="A53" i="19"/>
  <c r="B53" i="19"/>
  <c r="D53" i="19"/>
  <c r="A54" i="19"/>
  <c r="B54" i="19"/>
  <c r="D54" i="19"/>
  <c r="A55" i="19"/>
  <c r="B55" i="19"/>
  <c r="D55" i="19"/>
  <c r="A56" i="19"/>
  <c r="B56" i="19"/>
  <c r="D56" i="19"/>
  <c r="A57" i="19"/>
  <c r="B57" i="19"/>
  <c r="D57" i="19"/>
  <c r="A58" i="19"/>
  <c r="B58" i="19"/>
  <c r="D58" i="19"/>
  <c r="A59" i="19"/>
  <c r="B59" i="19"/>
  <c r="D59" i="19"/>
  <c r="A60" i="19"/>
  <c r="B60" i="19"/>
  <c r="D60" i="19"/>
  <c r="A61" i="19"/>
  <c r="B61" i="19"/>
  <c r="D61" i="19"/>
  <c r="A62" i="19"/>
  <c r="B62" i="19"/>
  <c r="D62" i="19"/>
  <c r="A63" i="19"/>
  <c r="B63" i="19"/>
  <c r="D63" i="19"/>
  <c r="A64" i="19"/>
  <c r="B64" i="19"/>
  <c r="D64" i="19"/>
  <c r="A65" i="19"/>
  <c r="B65" i="19"/>
  <c r="D65" i="19"/>
  <c r="A66" i="19"/>
  <c r="B66" i="19"/>
  <c r="D66" i="19"/>
  <c r="A67" i="19"/>
  <c r="B67" i="19"/>
  <c r="D67" i="19"/>
  <c r="A68" i="19"/>
  <c r="B68" i="19"/>
  <c r="D68" i="19"/>
  <c r="A69" i="19"/>
  <c r="B69" i="19"/>
  <c r="D69" i="19"/>
  <c r="A70" i="19"/>
  <c r="B70" i="19"/>
  <c r="D70" i="19"/>
  <c r="A71" i="19"/>
  <c r="B71" i="19"/>
  <c r="D71" i="19"/>
  <c r="A72" i="19"/>
  <c r="B72" i="19"/>
  <c r="D72" i="19"/>
  <c r="A73" i="19"/>
  <c r="B73" i="19"/>
  <c r="D73" i="19"/>
  <c r="A74" i="19"/>
  <c r="B74" i="19"/>
  <c r="D74" i="19"/>
  <c r="A75" i="19"/>
  <c r="B75" i="19"/>
  <c r="D75" i="19"/>
  <c r="A76" i="19"/>
  <c r="B76" i="19"/>
  <c r="D76" i="19"/>
  <c r="A77" i="19"/>
  <c r="B77" i="19"/>
  <c r="D77" i="19"/>
  <c r="A78" i="19"/>
  <c r="B78" i="19"/>
  <c r="D78" i="19"/>
  <c r="A79" i="19"/>
  <c r="B79" i="19"/>
  <c r="D79" i="19"/>
  <c r="A80" i="19"/>
  <c r="B80" i="19"/>
  <c r="D80" i="19"/>
  <c r="A81" i="19"/>
  <c r="B81" i="19"/>
  <c r="D81" i="19"/>
  <c r="A82" i="19"/>
  <c r="B82" i="19"/>
  <c r="D82" i="19"/>
  <c r="A83" i="19"/>
  <c r="B83" i="19"/>
  <c r="D83" i="19"/>
  <c r="A84" i="19"/>
  <c r="B84" i="19"/>
  <c r="D84" i="19"/>
  <c r="A85" i="19"/>
  <c r="B85" i="19"/>
  <c r="D85" i="19"/>
  <c r="A86" i="19"/>
  <c r="B86" i="19"/>
  <c r="D86" i="19"/>
  <c r="A87" i="19"/>
  <c r="B87" i="19"/>
  <c r="D87" i="19"/>
  <c r="A88" i="19"/>
  <c r="B88" i="19"/>
  <c r="D88" i="19"/>
  <c r="A89" i="19"/>
  <c r="B89" i="19"/>
  <c r="D89" i="19"/>
  <c r="A90" i="19"/>
  <c r="B90" i="19"/>
  <c r="D90" i="19"/>
  <c r="A91" i="19"/>
  <c r="B91" i="19"/>
  <c r="D91" i="19"/>
  <c r="A92" i="19"/>
  <c r="B92" i="19"/>
  <c r="D92" i="19"/>
  <c r="A93" i="19"/>
  <c r="B93" i="19"/>
  <c r="D93" i="19"/>
  <c r="A94" i="19"/>
  <c r="B94" i="19"/>
  <c r="D94" i="19"/>
  <c r="A95" i="19"/>
  <c r="B95" i="19"/>
  <c r="D95" i="19"/>
  <c r="A96" i="19"/>
  <c r="B96" i="19"/>
  <c r="D96" i="19"/>
  <c r="A97" i="19"/>
  <c r="B97" i="19"/>
  <c r="D97" i="19"/>
  <c r="A98" i="19"/>
  <c r="B98" i="19"/>
  <c r="D98" i="19"/>
  <c r="A99" i="19"/>
  <c r="B99" i="19"/>
  <c r="D99" i="19"/>
  <c r="A100" i="19"/>
  <c r="B100" i="19"/>
  <c r="D100" i="19"/>
  <c r="A101" i="19"/>
  <c r="B101" i="19"/>
  <c r="D101" i="19"/>
  <c r="D33" i="19"/>
  <c r="B33" i="19"/>
  <c r="A33" i="19"/>
  <c r="A34" i="18"/>
  <c r="B34" i="18"/>
  <c r="D34" i="18"/>
  <c r="A35" i="18"/>
  <c r="B35" i="18"/>
  <c r="D35" i="18"/>
  <c r="A36" i="18"/>
  <c r="B36" i="18"/>
  <c r="D36" i="18"/>
  <c r="A37" i="18"/>
  <c r="B37" i="18"/>
  <c r="D37" i="18"/>
  <c r="A38" i="18"/>
  <c r="B38" i="18"/>
  <c r="D38" i="18"/>
  <c r="A39" i="18"/>
  <c r="B39" i="18"/>
  <c r="D39" i="18"/>
  <c r="A40" i="18"/>
  <c r="B40" i="18"/>
  <c r="D40" i="18"/>
  <c r="A41" i="18"/>
  <c r="B41" i="18"/>
  <c r="D41" i="18"/>
  <c r="A42" i="18"/>
  <c r="B42" i="18"/>
  <c r="D42" i="18"/>
  <c r="A43" i="18"/>
  <c r="B43" i="18"/>
  <c r="D43" i="18"/>
  <c r="A44" i="18"/>
  <c r="B44" i="18"/>
  <c r="D44" i="18"/>
  <c r="A45" i="18"/>
  <c r="B45" i="18"/>
  <c r="D45" i="18"/>
  <c r="A46" i="18"/>
  <c r="B46" i="18"/>
  <c r="D46" i="18"/>
  <c r="A47" i="18"/>
  <c r="B47" i="18"/>
  <c r="D47" i="18"/>
  <c r="A48" i="18"/>
  <c r="B48" i="18"/>
  <c r="D48" i="18"/>
  <c r="A49" i="18"/>
  <c r="B49" i="18"/>
  <c r="D49" i="18"/>
  <c r="A50" i="18"/>
  <c r="B50" i="18"/>
  <c r="D50" i="18"/>
  <c r="A51" i="18"/>
  <c r="B51" i="18"/>
  <c r="D51" i="18"/>
  <c r="A52" i="18"/>
  <c r="B52" i="18"/>
  <c r="D52" i="18"/>
  <c r="A53" i="18"/>
  <c r="B53" i="18"/>
  <c r="D53" i="18"/>
  <c r="A54" i="18"/>
  <c r="B54" i="18"/>
  <c r="D54" i="18"/>
  <c r="A55" i="18"/>
  <c r="B55" i="18"/>
  <c r="D55" i="18"/>
  <c r="A56" i="18"/>
  <c r="B56" i="18"/>
  <c r="D56" i="18"/>
  <c r="A57" i="18"/>
  <c r="B57" i="18"/>
  <c r="D57" i="18"/>
  <c r="A58" i="18"/>
  <c r="B58" i="18"/>
  <c r="D58" i="18"/>
  <c r="A59" i="18"/>
  <c r="B59" i="18"/>
  <c r="D59" i="18"/>
  <c r="A60" i="18"/>
  <c r="B60" i="18"/>
  <c r="D60" i="18"/>
  <c r="A61" i="18"/>
  <c r="B61" i="18"/>
  <c r="D61" i="18"/>
  <c r="A62" i="18"/>
  <c r="B62" i="18"/>
  <c r="D62" i="18"/>
  <c r="A63" i="18"/>
  <c r="B63" i="18"/>
  <c r="D63" i="18"/>
  <c r="A64" i="18"/>
  <c r="B64" i="18"/>
  <c r="D64" i="18"/>
  <c r="A65" i="18"/>
  <c r="B65" i="18"/>
  <c r="D65" i="18"/>
  <c r="A66" i="18"/>
  <c r="B66" i="18"/>
  <c r="D66" i="18"/>
  <c r="A67" i="18"/>
  <c r="B67" i="18"/>
  <c r="D67" i="18"/>
  <c r="A68" i="18"/>
  <c r="B68" i="18"/>
  <c r="D68" i="18"/>
  <c r="A69" i="18"/>
  <c r="B69" i="18"/>
  <c r="D69" i="18"/>
  <c r="A70" i="18"/>
  <c r="B70" i="18"/>
  <c r="D70" i="18"/>
  <c r="A71" i="18"/>
  <c r="B71" i="18"/>
  <c r="D71" i="18"/>
  <c r="A72" i="18"/>
  <c r="B72" i="18"/>
  <c r="D72" i="18"/>
  <c r="A73" i="18"/>
  <c r="B73" i="18"/>
  <c r="D73" i="18"/>
  <c r="A74" i="18"/>
  <c r="B74" i="18"/>
  <c r="D74" i="18"/>
  <c r="A75" i="18"/>
  <c r="B75" i="18"/>
  <c r="D75" i="18"/>
  <c r="A76" i="18"/>
  <c r="B76" i="18"/>
  <c r="D76" i="18"/>
  <c r="A77" i="18"/>
  <c r="B77" i="18"/>
  <c r="D77" i="18"/>
  <c r="A78" i="18"/>
  <c r="B78" i="18"/>
  <c r="D78" i="18"/>
  <c r="A79" i="18"/>
  <c r="B79" i="18"/>
  <c r="D79" i="18"/>
  <c r="A80" i="18"/>
  <c r="B80" i="18"/>
  <c r="D80" i="18"/>
  <c r="A81" i="18"/>
  <c r="B81" i="18"/>
  <c r="D81" i="18"/>
  <c r="A82" i="18"/>
  <c r="B82" i="18"/>
  <c r="D82" i="18"/>
  <c r="A83" i="18"/>
  <c r="B83" i="18"/>
  <c r="D83" i="18"/>
  <c r="A84" i="18"/>
  <c r="B84" i="18"/>
  <c r="D84" i="18"/>
  <c r="A85" i="18"/>
  <c r="B85" i="18"/>
  <c r="D85" i="18"/>
  <c r="A86" i="18"/>
  <c r="B86" i="18"/>
  <c r="D86" i="18"/>
  <c r="A87" i="18"/>
  <c r="B87" i="18"/>
  <c r="D87" i="18"/>
  <c r="A88" i="18"/>
  <c r="B88" i="18"/>
  <c r="D88" i="18"/>
  <c r="A89" i="18"/>
  <c r="B89" i="18"/>
  <c r="D89" i="18"/>
  <c r="A90" i="18"/>
  <c r="B90" i="18"/>
  <c r="D90" i="18"/>
  <c r="A91" i="18"/>
  <c r="B91" i="18"/>
  <c r="D91" i="18"/>
  <c r="A92" i="18"/>
  <c r="B92" i="18"/>
  <c r="D92" i="18"/>
  <c r="A93" i="18"/>
  <c r="B93" i="18"/>
  <c r="D93" i="18"/>
  <c r="A94" i="18"/>
  <c r="B94" i="18"/>
  <c r="D94" i="18"/>
  <c r="A95" i="18"/>
  <c r="B95" i="18"/>
  <c r="D95" i="18"/>
  <c r="A96" i="18"/>
  <c r="B96" i="18"/>
  <c r="D96" i="18"/>
  <c r="A97" i="18"/>
  <c r="B97" i="18"/>
  <c r="D97" i="18"/>
  <c r="A98" i="18"/>
  <c r="B98" i="18"/>
  <c r="D98" i="18"/>
  <c r="A99" i="18"/>
  <c r="B99" i="18"/>
  <c r="D99" i="18"/>
  <c r="A100" i="18"/>
  <c r="B100" i="18"/>
  <c r="D100" i="18"/>
  <c r="A101" i="18"/>
  <c r="B101" i="18"/>
  <c r="D101" i="18"/>
  <c r="D33" i="18"/>
  <c r="B33" i="18"/>
  <c r="A33" i="18"/>
  <c r="A34" i="17"/>
  <c r="B34" i="17"/>
  <c r="D34" i="17"/>
  <c r="A35" i="17"/>
  <c r="B35" i="17"/>
  <c r="D35" i="17"/>
  <c r="A36" i="17"/>
  <c r="B36" i="17"/>
  <c r="D36" i="17"/>
  <c r="A37" i="17"/>
  <c r="B37" i="17"/>
  <c r="D37" i="17"/>
  <c r="A38" i="17"/>
  <c r="B38" i="17"/>
  <c r="D38" i="17"/>
  <c r="A39" i="17"/>
  <c r="B39" i="17"/>
  <c r="D39" i="17"/>
  <c r="A40" i="17"/>
  <c r="B40" i="17"/>
  <c r="D40" i="17"/>
  <c r="A41" i="17"/>
  <c r="B41" i="17"/>
  <c r="D41" i="17"/>
  <c r="A42" i="17"/>
  <c r="B42" i="17"/>
  <c r="D42" i="17"/>
  <c r="A43" i="17"/>
  <c r="B43" i="17"/>
  <c r="D43" i="17"/>
  <c r="A44" i="17"/>
  <c r="B44" i="17"/>
  <c r="D44" i="17"/>
  <c r="A45" i="17"/>
  <c r="B45" i="17"/>
  <c r="D45" i="17"/>
  <c r="A46" i="17"/>
  <c r="B46" i="17"/>
  <c r="D46" i="17"/>
  <c r="A47" i="17"/>
  <c r="B47" i="17"/>
  <c r="D47" i="17"/>
  <c r="A48" i="17"/>
  <c r="B48" i="17"/>
  <c r="D48" i="17"/>
  <c r="A49" i="17"/>
  <c r="B49" i="17"/>
  <c r="D49" i="17"/>
  <c r="A50" i="17"/>
  <c r="B50" i="17"/>
  <c r="D50" i="17"/>
  <c r="A51" i="17"/>
  <c r="B51" i="17"/>
  <c r="D51" i="17"/>
  <c r="A52" i="17"/>
  <c r="B52" i="17"/>
  <c r="D52" i="17"/>
  <c r="A53" i="17"/>
  <c r="B53" i="17"/>
  <c r="D53" i="17"/>
  <c r="A54" i="17"/>
  <c r="B54" i="17"/>
  <c r="D54" i="17"/>
  <c r="A55" i="17"/>
  <c r="B55" i="17"/>
  <c r="D55" i="17"/>
  <c r="A56" i="17"/>
  <c r="B56" i="17"/>
  <c r="D56" i="17"/>
  <c r="A57" i="17"/>
  <c r="B57" i="17"/>
  <c r="D57" i="17"/>
  <c r="A58" i="17"/>
  <c r="B58" i="17"/>
  <c r="D58" i="17"/>
  <c r="A59" i="17"/>
  <c r="B59" i="17"/>
  <c r="D59" i="17"/>
  <c r="A60" i="17"/>
  <c r="B60" i="17"/>
  <c r="D60" i="17"/>
  <c r="A61" i="17"/>
  <c r="B61" i="17"/>
  <c r="D61" i="17"/>
  <c r="A62" i="17"/>
  <c r="B62" i="17"/>
  <c r="D62" i="17"/>
  <c r="A63" i="17"/>
  <c r="B63" i="17"/>
  <c r="D63" i="17"/>
  <c r="A64" i="17"/>
  <c r="B64" i="17"/>
  <c r="D64" i="17"/>
  <c r="A65" i="17"/>
  <c r="B65" i="17"/>
  <c r="D65" i="17"/>
  <c r="A66" i="17"/>
  <c r="B66" i="17"/>
  <c r="D66" i="17"/>
  <c r="A67" i="17"/>
  <c r="B67" i="17"/>
  <c r="D67" i="17"/>
  <c r="A68" i="17"/>
  <c r="B68" i="17"/>
  <c r="D68" i="17"/>
  <c r="A69" i="17"/>
  <c r="B69" i="17"/>
  <c r="D69" i="17"/>
  <c r="A70" i="17"/>
  <c r="B70" i="17"/>
  <c r="D70" i="17"/>
  <c r="A71" i="17"/>
  <c r="B71" i="17"/>
  <c r="D71" i="17"/>
  <c r="A72" i="17"/>
  <c r="B72" i="17"/>
  <c r="D72" i="17"/>
  <c r="A73" i="17"/>
  <c r="B73" i="17"/>
  <c r="D73" i="17"/>
  <c r="A74" i="17"/>
  <c r="B74" i="17"/>
  <c r="D74" i="17"/>
  <c r="A75" i="17"/>
  <c r="B75" i="17"/>
  <c r="D75" i="17"/>
  <c r="A76" i="17"/>
  <c r="B76" i="17"/>
  <c r="D76" i="17"/>
  <c r="A77" i="17"/>
  <c r="B77" i="17"/>
  <c r="D77" i="17"/>
  <c r="A78" i="17"/>
  <c r="B78" i="17"/>
  <c r="D78" i="17"/>
  <c r="A79" i="17"/>
  <c r="B79" i="17"/>
  <c r="D79" i="17"/>
  <c r="A80" i="17"/>
  <c r="B80" i="17"/>
  <c r="D80" i="17"/>
  <c r="A81" i="17"/>
  <c r="B81" i="17"/>
  <c r="D81" i="17"/>
  <c r="A82" i="17"/>
  <c r="B82" i="17"/>
  <c r="D82" i="17"/>
  <c r="A83" i="17"/>
  <c r="B83" i="17"/>
  <c r="D83" i="17"/>
  <c r="A84" i="17"/>
  <c r="B84" i="17"/>
  <c r="D84" i="17"/>
  <c r="A85" i="17"/>
  <c r="B85" i="17"/>
  <c r="D85" i="17"/>
  <c r="A86" i="17"/>
  <c r="B86" i="17"/>
  <c r="D86" i="17"/>
  <c r="A87" i="17"/>
  <c r="B87" i="17"/>
  <c r="D87" i="17"/>
  <c r="A88" i="17"/>
  <c r="B88" i="17"/>
  <c r="D88" i="17"/>
  <c r="A89" i="17"/>
  <c r="B89" i="17"/>
  <c r="D89" i="17"/>
  <c r="A90" i="17"/>
  <c r="B90" i="17"/>
  <c r="D90" i="17"/>
  <c r="A91" i="17"/>
  <c r="B91" i="17"/>
  <c r="D91" i="17"/>
  <c r="A92" i="17"/>
  <c r="B92" i="17"/>
  <c r="D92" i="17"/>
  <c r="A93" i="17"/>
  <c r="B93" i="17"/>
  <c r="D93" i="17"/>
  <c r="A94" i="17"/>
  <c r="B94" i="17"/>
  <c r="D94" i="17"/>
  <c r="A95" i="17"/>
  <c r="B95" i="17"/>
  <c r="D95" i="17"/>
  <c r="A96" i="17"/>
  <c r="B96" i="17"/>
  <c r="D96" i="17"/>
  <c r="A97" i="17"/>
  <c r="B97" i="17"/>
  <c r="D97" i="17"/>
  <c r="A98" i="17"/>
  <c r="B98" i="17"/>
  <c r="D98" i="17"/>
  <c r="A99" i="17"/>
  <c r="B99" i="17"/>
  <c r="D99" i="17"/>
  <c r="A100" i="17"/>
  <c r="B100" i="17"/>
  <c r="D100" i="17"/>
  <c r="A101" i="17"/>
  <c r="B101" i="17"/>
  <c r="D101" i="17"/>
  <c r="D33" i="17"/>
  <c r="B33" i="17"/>
  <c r="B27" i="17" s="1"/>
  <c r="A33" i="17"/>
  <c r="C55" i="4"/>
  <c r="J80" i="1"/>
  <c r="M80" i="1" s="1"/>
  <c r="J82" i="1"/>
  <c r="M82" i="1" s="1"/>
  <c r="K11" i="1"/>
  <c r="N28" i="21"/>
  <c r="L28" i="21"/>
  <c r="N28" i="17"/>
  <c r="I35" i="4"/>
  <c r="T48" i="20"/>
  <c r="W47" i="20"/>
  <c r="Q46" i="20"/>
  <c r="R46" i="20"/>
  <c r="S46" i="20"/>
  <c r="N28" i="20"/>
  <c r="L28" i="20"/>
  <c r="T48" i="19"/>
  <c r="U48" i="19"/>
  <c r="W47" i="19"/>
  <c r="S46" i="19"/>
  <c r="Q46" i="19"/>
  <c r="R46" i="19" s="1"/>
  <c r="T46" i="19" s="1"/>
  <c r="N28" i="19"/>
  <c r="L28" i="19"/>
  <c r="N28" i="18"/>
  <c r="L28" i="18"/>
  <c r="L28" i="17"/>
  <c r="V48" i="20"/>
  <c r="U48" i="20"/>
  <c r="H81" i="1"/>
  <c r="G81" i="1"/>
  <c r="F81" i="1"/>
  <c r="E81" i="1"/>
  <c r="D81" i="1"/>
  <c r="J23" i="1"/>
  <c r="M23" i="1" s="1"/>
  <c r="R34" i="1"/>
  <c r="R36" i="1" s="1"/>
  <c r="R25" i="1"/>
  <c r="O12" i="1"/>
  <c r="P11" i="1"/>
  <c r="J26" i="1"/>
  <c r="N26" i="1" s="1"/>
  <c r="J25" i="1"/>
  <c r="M25" i="1" s="1"/>
  <c r="H24" i="1"/>
  <c r="G24" i="1"/>
  <c r="F24" i="1"/>
  <c r="E24" i="1"/>
  <c r="D24" i="1"/>
  <c r="J14" i="1"/>
  <c r="J16" i="1"/>
  <c r="P37" i="1"/>
  <c r="P36" i="1"/>
  <c r="P35" i="1"/>
  <c r="F35" i="1"/>
  <c r="Q37" i="1"/>
  <c r="Q36" i="1"/>
  <c r="Q35" i="1"/>
  <c r="O37" i="1"/>
  <c r="O36" i="1"/>
  <c r="O35" i="1"/>
  <c r="J5" i="1"/>
  <c r="D6" i="1"/>
  <c r="E6" i="1"/>
  <c r="F6" i="1"/>
  <c r="G6" i="1"/>
  <c r="H6" i="1"/>
  <c r="J7" i="1"/>
  <c r="H15" i="1"/>
  <c r="G15" i="1"/>
  <c r="F15" i="1"/>
  <c r="E15" i="1"/>
  <c r="D15" i="1"/>
  <c r="K7" i="1"/>
  <c r="K6" i="1"/>
  <c r="K5" i="1"/>
  <c r="H35" i="1"/>
  <c r="L61" i="1"/>
  <c r="K80" i="1" l="1"/>
  <c r="K81" i="1" s="1"/>
  <c r="K254" i="1"/>
  <c r="L254" i="1" s="1"/>
  <c r="K252" i="1"/>
  <c r="J6" i="1"/>
  <c r="A104" i="19"/>
  <c r="A104" i="18"/>
  <c r="A104" i="17"/>
  <c r="A104" i="20"/>
  <c r="E8" i="4"/>
  <c r="D20" i="18"/>
  <c r="F20" i="18" s="1"/>
  <c r="H78" i="18" s="1"/>
  <c r="K26" i="1"/>
  <c r="L26" i="1" s="1"/>
  <c r="N80" i="1"/>
  <c r="H41" i="4" s="1"/>
  <c r="T46" i="20"/>
  <c r="L7" i="1"/>
  <c r="T7" i="1" s="1"/>
  <c r="AE7" i="1" s="1"/>
  <c r="K16" i="1"/>
  <c r="L16" i="1" s="1"/>
  <c r="T16" i="1" s="1"/>
  <c r="V16" i="1" s="1"/>
  <c r="W16" i="1" s="1"/>
  <c r="Z16" i="1" s="1"/>
  <c r="R37" i="1"/>
  <c r="N23" i="1"/>
  <c r="J81" i="1"/>
  <c r="K82" i="1"/>
  <c r="L82" i="1" s="1"/>
  <c r="E47" i="4" s="1"/>
  <c r="L5" i="1"/>
  <c r="R35" i="1"/>
  <c r="J15" i="1"/>
  <c r="M26" i="1"/>
  <c r="N82" i="1"/>
  <c r="H46" i="4" s="1"/>
  <c r="L6" i="1"/>
  <c r="T6" i="1" s="1"/>
  <c r="AE6" i="1" s="1"/>
  <c r="V48" i="19"/>
  <c r="F20" i="17"/>
  <c r="H34" i="17" s="1"/>
  <c r="D20" i="19"/>
  <c r="F20" i="19" s="1"/>
  <c r="N40" i="19" s="1"/>
  <c r="F42" i="4"/>
  <c r="L8" i="1"/>
  <c r="T5" i="1"/>
  <c r="V47" i="20"/>
  <c r="V46" i="20"/>
  <c r="U46" i="20"/>
  <c r="F47" i="4"/>
  <c r="O82" i="1"/>
  <c r="V46" i="19"/>
  <c r="U46" i="19"/>
  <c r="V47" i="19"/>
  <c r="F20" i="20"/>
  <c r="H85" i="20" s="1"/>
  <c r="N25" i="1"/>
  <c r="J24" i="1"/>
  <c r="L35" i="21"/>
  <c r="L37" i="21"/>
  <c r="L39" i="21"/>
  <c r="L41" i="21"/>
  <c r="L43" i="21"/>
  <c r="L45" i="21"/>
  <c r="L47" i="21"/>
  <c r="L49" i="21"/>
  <c r="L51" i="21"/>
  <c r="L53" i="21"/>
  <c r="L55" i="21"/>
  <c r="L57" i="21"/>
  <c r="L59" i="21"/>
  <c r="L61" i="21"/>
  <c r="L63" i="21"/>
  <c r="L65" i="21"/>
  <c r="L67" i="21"/>
  <c r="L69" i="21"/>
  <c r="L71" i="21"/>
  <c r="L73" i="21"/>
  <c r="L75" i="21"/>
  <c r="L77" i="21"/>
  <c r="L79" i="21"/>
  <c r="L81" i="21"/>
  <c r="L83" i="21"/>
  <c r="L85" i="21"/>
  <c r="L87" i="21"/>
  <c r="L89" i="21"/>
  <c r="L91" i="21"/>
  <c r="L93" i="21"/>
  <c r="L95" i="21"/>
  <c r="L97" i="21"/>
  <c r="L99" i="21"/>
  <c r="L101" i="21"/>
  <c r="L34" i="21"/>
  <c r="L38" i="21"/>
  <c r="L42" i="21"/>
  <c r="L46" i="21"/>
  <c r="L50" i="21"/>
  <c r="L54" i="21"/>
  <c r="L58" i="21"/>
  <c r="L62" i="21"/>
  <c r="L66" i="21"/>
  <c r="L70" i="21"/>
  <c r="L74" i="21"/>
  <c r="L78" i="21"/>
  <c r="L82" i="21"/>
  <c r="L90" i="21"/>
  <c r="L98" i="21"/>
  <c r="L88" i="21"/>
  <c r="L96" i="21"/>
  <c r="L36" i="21"/>
  <c r="L44" i="21"/>
  <c r="L52" i="21"/>
  <c r="L60" i="21"/>
  <c r="L68" i="21"/>
  <c r="L76" i="21"/>
  <c r="L94" i="21"/>
  <c r="L84" i="21"/>
  <c r="L100" i="21"/>
  <c r="L40" i="21"/>
  <c r="L72" i="21"/>
  <c r="L48" i="21"/>
  <c r="L64" i="21"/>
  <c r="L80" i="21"/>
  <c r="L92" i="21"/>
  <c r="L33" i="21"/>
  <c r="L56" i="21"/>
  <c r="L86" i="21"/>
  <c r="L80" i="1"/>
  <c r="H34" i="18"/>
  <c r="H38" i="18"/>
  <c r="H42" i="18"/>
  <c r="H46" i="18"/>
  <c r="H50" i="18"/>
  <c r="H54" i="18"/>
  <c r="H58" i="18"/>
  <c r="H62" i="18"/>
  <c r="H66" i="18"/>
  <c r="H70" i="18"/>
  <c r="H74" i="18"/>
  <c r="H94" i="18"/>
  <c r="H98" i="18"/>
  <c r="H35" i="18"/>
  <c r="H39" i="18"/>
  <c r="H43" i="18"/>
  <c r="H47" i="18"/>
  <c r="H51" i="18"/>
  <c r="H55" i="18"/>
  <c r="H59" i="18"/>
  <c r="H63" i="18"/>
  <c r="H67" i="18"/>
  <c r="H71" i="18"/>
  <c r="H91" i="18"/>
  <c r="H95" i="18"/>
  <c r="H99" i="18"/>
  <c r="H36" i="18"/>
  <c r="H44" i="18"/>
  <c r="H52" i="18"/>
  <c r="H60" i="18"/>
  <c r="H68" i="18"/>
  <c r="H76" i="18"/>
  <c r="H84" i="18"/>
  <c r="H92" i="18"/>
  <c r="H100" i="18"/>
  <c r="N37" i="18"/>
  <c r="N50" i="18"/>
  <c r="N53" i="18"/>
  <c r="N58" i="18"/>
  <c r="N61" i="18"/>
  <c r="N66" i="18"/>
  <c r="N69" i="18"/>
  <c r="N74" i="18"/>
  <c r="H37" i="18"/>
  <c r="H45" i="18"/>
  <c r="H53" i="18"/>
  <c r="H61" i="18"/>
  <c r="H69" i="18"/>
  <c r="H85" i="18"/>
  <c r="H93" i="18"/>
  <c r="N35" i="18"/>
  <c r="N40" i="18"/>
  <c r="N43" i="18"/>
  <c r="N48" i="18"/>
  <c r="N51" i="18"/>
  <c r="N56" i="18"/>
  <c r="N59" i="18"/>
  <c r="N64" i="18"/>
  <c r="N67" i="18"/>
  <c r="N72" i="18"/>
  <c r="N75" i="18"/>
  <c r="N77" i="18"/>
  <c r="N81" i="18"/>
  <c r="N83" i="18"/>
  <c r="N85" i="18"/>
  <c r="N87" i="18"/>
  <c r="N89" i="18"/>
  <c r="N91" i="18"/>
  <c r="N93" i="18"/>
  <c r="N95" i="18"/>
  <c r="N97" i="18"/>
  <c r="N99" i="18"/>
  <c r="N101" i="18"/>
  <c r="H40" i="18"/>
  <c r="H56" i="18"/>
  <c r="H72" i="18"/>
  <c r="H88" i="18"/>
  <c r="N46" i="18"/>
  <c r="N57" i="18"/>
  <c r="N62" i="18"/>
  <c r="N73" i="18"/>
  <c r="N33" i="18"/>
  <c r="H33" i="18"/>
  <c r="H41" i="18"/>
  <c r="H57" i="18"/>
  <c r="H73" i="18"/>
  <c r="H89" i="18"/>
  <c r="N36" i="18"/>
  <c r="N47" i="18"/>
  <c r="N52" i="18"/>
  <c r="N63" i="18"/>
  <c r="N68" i="18"/>
  <c r="N82" i="18"/>
  <c r="N86" i="18"/>
  <c r="N90" i="18"/>
  <c r="N94" i="18"/>
  <c r="N98" i="18"/>
  <c r="H48" i="18"/>
  <c r="H64" i="18"/>
  <c r="H80" i="18"/>
  <c r="H49" i="18"/>
  <c r="H97" i="18"/>
  <c r="N44" i="18"/>
  <c r="N55" i="18"/>
  <c r="N76" i="18"/>
  <c r="N84" i="18"/>
  <c r="N92" i="18"/>
  <c r="H96" i="18"/>
  <c r="N54" i="18"/>
  <c r="H65" i="18"/>
  <c r="N38" i="18"/>
  <c r="N49" i="18"/>
  <c r="N70" i="18"/>
  <c r="H81" i="18"/>
  <c r="N39" i="18"/>
  <c r="N60" i="18"/>
  <c r="N71" i="18"/>
  <c r="N80" i="18"/>
  <c r="N88" i="18"/>
  <c r="N96" i="18"/>
  <c r="N65" i="18"/>
  <c r="N87" i="19"/>
  <c r="K23" i="1"/>
  <c r="F34" i="21"/>
  <c r="F36" i="21"/>
  <c r="F38" i="21"/>
  <c r="F40" i="21"/>
  <c r="F42" i="21"/>
  <c r="F44" i="21"/>
  <c r="F46" i="21"/>
  <c r="F48" i="21"/>
  <c r="F50" i="21"/>
  <c r="F52" i="21"/>
  <c r="F54" i="21"/>
  <c r="F56" i="21"/>
  <c r="F58" i="21"/>
  <c r="F60" i="21"/>
  <c r="F62" i="21"/>
  <c r="F64" i="21"/>
  <c r="F66" i="21"/>
  <c r="F35" i="21"/>
  <c r="F37" i="21"/>
  <c r="F39" i="21"/>
  <c r="F41" i="21"/>
  <c r="F43" i="21"/>
  <c r="F45" i="21"/>
  <c r="F47" i="21"/>
  <c r="F49" i="21"/>
  <c r="F51" i="21"/>
  <c r="F53" i="21"/>
  <c r="F55" i="21"/>
  <c r="F57" i="21"/>
  <c r="F59" i="21"/>
  <c r="F67" i="21"/>
  <c r="F69" i="21"/>
  <c r="F71" i="21"/>
  <c r="F73" i="21"/>
  <c r="F75" i="21"/>
  <c r="F77" i="21"/>
  <c r="F79" i="21"/>
  <c r="F81" i="21"/>
  <c r="F83" i="21"/>
  <c r="F85" i="21"/>
  <c r="F87" i="21"/>
  <c r="F89" i="21"/>
  <c r="F91" i="21"/>
  <c r="F93" i="21"/>
  <c r="F95" i="21"/>
  <c r="F97" i="21"/>
  <c r="F99" i="21"/>
  <c r="F101" i="21"/>
  <c r="F65" i="21"/>
  <c r="F70" i="21"/>
  <c r="F74" i="21"/>
  <c r="F78" i="21"/>
  <c r="F82" i="21"/>
  <c r="F86" i="21"/>
  <c r="F90" i="21"/>
  <c r="F94" i="21"/>
  <c r="F98" i="21"/>
  <c r="F61" i="21"/>
  <c r="F63" i="21"/>
  <c r="F72" i="21"/>
  <c r="F80" i="21"/>
  <c r="F88" i="21"/>
  <c r="F96" i="21"/>
  <c r="F33" i="21"/>
  <c r="F76" i="21"/>
  <c r="F68" i="21"/>
  <c r="F84" i="21"/>
  <c r="F100" i="21"/>
  <c r="F92" i="21"/>
  <c r="K14" i="1"/>
  <c r="K25" i="1"/>
  <c r="L25" i="1" s="1"/>
  <c r="F19" i="17"/>
  <c r="F38" i="17" s="1"/>
  <c r="D19" i="18"/>
  <c r="D19" i="19"/>
  <c r="D19" i="20"/>
  <c r="H46" i="17"/>
  <c r="H50" i="17"/>
  <c r="H70" i="17"/>
  <c r="H74" i="17"/>
  <c r="H78" i="17"/>
  <c r="H82" i="17"/>
  <c r="H86" i="17"/>
  <c r="H90" i="17"/>
  <c r="H94" i="17"/>
  <c r="H39" i="17"/>
  <c r="H43" i="17"/>
  <c r="H47" i="17"/>
  <c r="H51" i="17"/>
  <c r="H55" i="17"/>
  <c r="H59" i="17"/>
  <c r="H63" i="17"/>
  <c r="H67" i="17"/>
  <c r="H71" i="17"/>
  <c r="H75" i="17"/>
  <c r="H79" i="17"/>
  <c r="H83" i="17"/>
  <c r="H87" i="17"/>
  <c r="H91" i="17"/>
  <c r="H95" i="17"/>
  <c r="H99" i="17"/>
  <c r="H40" i="17"/>
  <c r="H48" i="17"/>
  <c r="H56" i="17"/>
  <c r="H64" i="17"/>
  <c r="H72" i="17"/>
  <c r="H80" i="17"/>
  <c r="H88" i="17"/>
  <c r="H96" i="17"/>
  <c r="N34" i="17"/>
  <c r="N39" i="17"/>
  <c r="N42" i="17"/>
  <c r="N47" i="17"/>
  <c r="N50" i="17"/>
  <c r="N55" i="17"/>
  <c r="N58" i="17"/>
  <c r="N63" i="17"/>
  <c r="N66" i="17"/>
  <c r="N71" i="17"/>
  <c r="N74" i="17"/>
  <c r="N79" i="17"/>
  <c r="N82" i="17"/>
  <c r="N87" i="17"/>
  <c r="N90" i="17"/>
  <c r="N95" i="17"/>
  <c r="N98" i="17"/>
  <c r="H41" i="17"/>
  <c r="H49" i="17"/>
  <c r="H57" i="17"/>
  <c r="H65" i="17"/>
  <c r="H73" i="17"/>
  <c r="H81" i="17"/>
  <c r="H89" i="17"/>
  <c r="H97" i="17"/>
  <c r="N37" i="17"/>
  <c r="N40" i="17"/>
  <c r="N45" i="17"/>
  <c r="N48" i="17"/>
  <c r="N53" i="17"/>
  <c r="N56" i="17"/>
  <c r="N61" i="17"/>
  <c r="N64" i="17"/>
  <c r="N69" i="17"/>
  <c r="N72" i="17"/>
  <c r="N77" i="17"/>
  <c r="N80" i="17"/>
  <c r="N85" i="17"/>
  <c r="N88" i="17"/>
  <c r="N93" i="17"/>
  <c r="N96" i="17"/>
  <c r="N101" i="17"/>
  <c r="H36" i="17"/>
  <c r="H52" i="17"/>
  <c r="H68" i="17"/>
  <c r="H84" i="17"/>
  <c r="H100" i="17"/>
  <c r="N35" i="17"/>
  <c r="N46" i="17"/>
  <c r="N51" i="17"/>
  <c r="N62" i="17"/>
  <c r="N67" i="17"/>
  <c r="N78" i="17"/>
  <c r="N83" i="17"/>
  <c r="N94" i="17"/>
  <c r="N99" i="17"/>
  <c r="H37" i="17"/>
  <c r="H53" i="17"/>
  <c r="H69" i="17"/>
  <c r="H85" i="17"/>
  <c r="H101" i="17"/>
  <c r="N36" i="17"/>
  <c r="N41" i="17"/>
  <c r="N52" i="17"/>
  <c r="N57" i="17"/>
  <c r="N68" i="17"/>
  <c r="N73" i="17"/>
  <c r="N84" i="17"/>
  <c r="N89" i="17"/>
  <c r="N100" i="17"/>
  <c r="H61" i="17"/>
  <c r="H93" i="17"/>
  <c r="N49" i="17"/>
  <c r="N60" i="17"/>
  <c r="N81" i="17"/>
  <c r="N92" i="17"/>
  <c r="N70" i="17"/>
  <c r="H44" i="17"/>
  <c r="H76" i="17"/>
  <c r="N43" i="17"/>
  <c r="N54" i="17"/>
  <c r="N75" i="17"/>
  <c r="N86" i="17"/>
  <c r="H33" i="17"/>
  <c r="H45" i="17"/>
  <c r="H77" i="17"/>
  <c r="N44" i="17"/>
  <c r="N65" i="17"/>
  <c r="N76" i="17"/>
  <c r="N97" i="17"/>
  <c r="H60" i="17"/>
  <c r="H92" i="17"/>
  <c r="N38" i="17"/>
  <c r="N59" i="17"/>
  <c r="N91" i="17"/>
  <c r="H34" i="21"/>
  <c r="H38" i="21"/>
  <c r="H42" i="21"/>
  <c r="H46" i="21"/>
  <c r="H50" i="21"/>
  <c r="H54" i="21"/>
  <c r="H58" i="21"/>
  <c r="H61" i="21"/>
  <c r="H64" i="21"/>
  <c r="H35" i="21"/>
  <c r="H39" i="21"/>
  <c r="H43" i="21"/>
  <c r="H47" i="21"/>
  <c r="H51" i="21"/>
  <c r="H55" i="21"/>
  <c r="H59" i="21"/>
  <c r="H62" i="21"/>
  <c r="H67" i="21"/>
  <c r="H69" i="21"/>
  <c r="H71" i="21"/>
  <c r="H73" i="21"/>
  <c r="H75" i="21"/>
  <c r="H77" i="21"/>
  <c r="H79" i="21"/>
  <c r="H81" i="21"/>
  <c r="H83" i="21"/>
  <c r="H85" i="21"/>
  <c r="H87" i="21"/>
  <c r="H89" i="21"/>
  <c r="H91" i="21"/>
  <c r="H93" i="21"/>
  <c r="H95" i="21"/>
  <c r="H97" i="21"/>
  <c r="H99" i="21"/>
  <c r="H101" i="21"/>
  <c r="N35" i="21"/>
  <c r="N37" i="21"/>
  <c r="N39" i="21"/>
  <c r="N41" i="21"/>
  <c r="N43" i="21"/>
  <c r="N45" i="21"/>
  <c r="N47" i="21"/>
  <c r="N49" i="21"/>
  <c r="N51" i="21"/>
  <c r="N53" i="21"/>
  <c r="N55" i="21"/>
  <c r="N57" i="21"/>
  <c r="N59" i="21"/>
  <c r="N61" i="21"/>
  <c r="N63" i="21"/>
  <c r="N65" i="21"/>
  <c r="N67" i="21"/>
  <c r="N69" i="21"/>
  <c r="N71" i="21"/>
  <c r="N73" i="21"/>
  <c r="N75" i="21"/>
  <c r="N77" i="21"/>
  <c r="N79" i="21"/>
  <c r="N81" i="21"/>
  <c r="H36" i="21"/>
  <c r="H44" i="21"/>
  <c r="H52" i="21"/>
  <c r="H60" i="21"/>
  <c r="H65" i="21"/>
  <c r="N84" i="21"/>
  <c r="N87" i="21"/>
  <c r="N92" i="21"/>
  <c r="N95" i="21"/>
  <c r="N100" i="21"/>
  <c r="H37" i="21"/>
  <c r="H45" i="21"/>
  <c r="H53" i="21"/>
  <c r="H66" i="21"/>
  <c r="H70" i="21"/>
  <c r="H74" i="21"/>
  <c r="H78" i="21"/>
  <c r="H82" i="21"/>
  <c r="H86" i="21"/>
  <c r="H90" i="21"/>
  <c r="H94" i="21"/>
  <c r="H98" i="21"/>
  <c r="N34" i="21"/>
  <c r="N38" i="21"/>
  <c r="N42" i="21"/>
  <c r="N46" i="21"/>
  <c r="N50" i="21"/>
  <c r="N54" i="21"/>
  <c r="N58" i="21"/>
  <c r="N62" i="21"/>
  <c r="N66" i="21"/>
  <c r="N70" i="21"/>
  <c r="N74" i="21"/>
  <c r="N78" i="21"/>
  <c r="N82" i="21"/>
  <c r="N85" i="21"/>
  <c r="N90" i="21"/>
  <c r="N93" i="21"/>
  <c r="N98" i="21"/>
  <c r="N101" i="21"/>
  <c r="H48" i="21"/>
  <c r="N83" i="21"/>
  <c r="N88" i="21"/>
  <c r="N99" i="21"/>
  <c r="H33" i="21"/>
  <c r="H49" i="21"/>
  <c r="H63" i="21"/>
  <c r="H72" i="21"/>
  <c r="H80" i="21"/>
  <c r="H88" i="21"/>
  <c r="H96" i="21"/>
  <c r="N36" i="21"/>
  <c r="N44" i="21"/>
  <c r="N52" i="21"/>
  <c r="N60" i="21"/>
  <c r="N68" i="21"/>
  <c r="N76" i="21"/>
  <c r="N89" i="21"/>
  <c r="N94" i="21"/>
  <c r="H57" i="21"/>
  <c r="H76" i="21"/>
  <c r="H92" i="21"/>
  <c r="N40" i="21"/>
  <c r="N56" i="21"/>
  <c r="N72" i="21"/>
  <c r="N86" i="21"/>
  <c r="N97" i="21"/>
  <c r="N96" i="21"/>
  <c r="H40" i="21"/>
  <c r="N91" i="21"/>
  <c r="N33" i="21"/>
  <c r="H41" i="21"/>
  <c r="H68" i="21"/>
  <c r="H84" i="21"/>
  <c r="H100" i="21"/>
  <c r="N48" i="21"/>
  <c r="N64" i="21"/>
  <c r="N80" i="21"/>
  <c r="H56" i="21"/>
  <c r="M245" i="1" l="1"/>
  <c r="N245" i="1"/>
  <c r="N257" i="1"/>
  <c r="N256" i="1"/>
  <c r="M257" i="1"/>
  <c r="M256" i="1"/>
  <c r="K253" i="1"/>
  <c r="L253" i="1" s="1"/>
  <c r="L252" i="1"/>
  <c r="L255" i="1" s="1"/>
  <c r="L256" i="1" s="1"/>
  <c r="L257" i="1" s="1"/>
  <c r="V7" i="1"/>
  <c r="W7" i="1" s="1"/>
  <c r="AB7" i="1" s="1"/>
  <c r="AE16" i="1"/>
  <c r="AF16" i="1" s="1"/>
  <c r="Y16" i="1"/>
  <c r="AC16" i="1"/>
  <c r="AB16" i="1"/>
  <c r="AA16" i="1"/>
  <c r="G42" i="4"/>
  <c r="H43" i="4" s="1"/>
  <c r="H66" i="17"/>
  <c r="H62" i="17"/>
  <c r="H58" i="17"/>
  <c r="H54" i="17"/>
  <c r="H103" i="21"/>
  <c r="F103" i="21"/>
  <c r="H101" i="18"/>
  <c r="N45" i="18"/>
  <c r="H87" i="18"/>
  <c r="H90" i="18"/>
  <c r="N42" i="18"/>
  <c r="H83" i="18"/>
  <c r="H86" i="18"/>
  <c r="H79" i="18"/>
  <c r="H82" i="18"/>
  <c r="N100" i="18"/>
  <c r="N78" i="18"/>
  <c r="N41" i="18"/>
  <c r="N79" i="18"/>
  <c r="H77" i="18"/>
  <c r="N34" i="18"/>
  <c r="H75" i="18"/>
  <c r="H35" i="17"/>
  <c r="H42" i="17"/>
  <c r="N33" i="17"/>
  <c r="N103" i="17" s="1"/>
  <c r="H38" i="17"/>
  <c r="H98" i="17"/>
  <c r="N103" i="21"/>
  <c r="L103" i="21"/>
  <c r="N99" i="19"/>
  <c r="N73" i="19"/>
  <c r="N86" i="19"/>
  <c r="F15" i="4"/>
  <c r="F35" i="4" s="1"/>
  <c r="G47" i="4"/>
  <c r="H48" i="4" s="1"/>
  <c r="M81" i="1"/>
  <c r="N81" i="1"/>
  <c r="L81" i="1"/>
  <c r="L83" i="1" s="1"/>
  <c r="L84" i="1" s="1"/>
  <c r="L85" i="1" s="1"/>
  <c r="E42" i="4"/>
  <c r="V6" i="1"/>
  <c r="W6" i="1" s="1"/>
  <c r="X6" i="1" s="1"/>
  <c r="N35" i="19"/>
  <c r="H98" i="19"/>
  <c r="N41" i="19"/>
  <c r="N70" i="19"/>
  <c r="H33" i="19"/>
  <c r="H70" i="19"/>
  <c r="H67" i="19"/>
  <c r="N54" i="19"/>
  <c r="H90" i="19"/>
  <c r="H82" i="19"/>
  <c r="H38" i="19"/>
  <c r="H35" i="19"/>
  <c r="N38" i="19"/>
  <c r="L100" i="17"/>
  <c r="F41" i="17"/>
  <c r="H71" i="19"/>
  <c r="H69" i="19"/>
  <c r="N75" i="19"/>
  <c r="H68" i="19"/>
  <c r="H55" i="19"/>
  <c r="H61" i="19"/>
  <c r="N63" i="19"/>
  <c r="H89" i="19"/>
  <c r="H57" i="19"/>
  <c r="N93" i="19"/>
  <c r="N61" i="19"/>
  <c r="H88" i="19"/>
  <c r="H56" i="19"/>
  <c r="N96" i="19"/>
  <c r="N80" i="19"/>
  <c r="N64" i="19"/>
  <c r="N48" i="19"/>
  <c r="N33" i="19"/>
  <c r="H60" i="19"/>
  <c r="H58" i="19"/>
  <c r="N67" i="19"/>
  <c r="H63" i="19"/>
  <c r="H44" i="19"/>
  <c r="H50" i="19"/>
  <c r="N55" i="19"/>
  <c r="H86" i="19"/>
  <c r="H54" i="19"/>
  <c r="N89" i="19"/>
  <c r="N57" i="19"/>
  <c r="H83" i="19"/>
  <c r="H51" i="19"/>
  <c r="N94" i="19"/>
  <c r="N78" i="19"/>
  <c r="N62" i="19"/>
  <c r="N46" i="19"/>
  <c r="H95" i="19"/>
  <c r="H37" i="19"/>
  <c r="N43" i="19"/>
  <c r="H36" i="19"/>
  <c r="H93" i="19"/>
  <c r="N95" i="19"/>
  <c r="H100" i="19"/>
  <c r="H73" i="19"/>
  <c r="H41" i="19"/>
  <c r="N77" i="19"/>
  <c r="N45" i="19"/>
  <c r="H72" i="19"/>
  <c r="H40" i="19"/>
  <c r="N88" i="19"/>
  <c r="N72" i="19"/>
  <c r="N56" i="19"/>
  <c r="N84" i="20"/>
  <c r="N43" i="20"/>
  <c r="N51" i="20"/>
  <c r="N94" i="20"/>
  <c r="N57" i="20"/>
  <c r="N37" i="20"/>
  <c r="H71" i="20"/>
  <c r="E21" i="4"/>
  <c r="L55" i="17"/>
  <c r="L36" i="17"/>
  <c r="F44" i="17"/>
  <c r="L83" i="17"/>
  <c r="F73" i="17"/>
  <c r="L68" i="17"/>
  <c r="F76" i="17"/>
  <c r="H38" i="20"/>
  <c r="H40" i="20"/>
  <c r="H50" i="20"/>
  <c r="H60" i="20"/>
  <c r="H72" i="20"/>
  <c r="H82" i="20"/>
  <c r="H92" i="20"/>
  <c r="N36" i="20"/>
  <c r="N46" i="20"/>
  <c r="N56" i="20"/>
  <c r="N68" i="20"/>
  <c r="N78" i="20"/>
  <c r="N88" i="20"/>
  <c r="N100" i="20"/>
  <c r="H53" i="20"/>
  <c r="H73" i="20"/>
  <c r="H97" i="20"/>
  <c r="N53" i="20"/>
  <c r="N93" i="20"/>
  <c r="H99" i="20"/>
  <c r="N55" i="20"/>
  <c r="N67" i="20"/>
  <c r="H35" i="20"/>
  <c r="H55" i="20"/>
  <c r="H87" i="20"/>
  <c r="N81" i="20"/>
  <c r="N79" i="20"/>
  <c r="H52" i="20"/>
  <c r="H84" i="20"/>
  <c r="N38" i="20"/>
  <c r="N60" i="20"/>
  <c r="N80" i="20"/>
  <c r="H37" i="20"/>
  <c r="H81" i="20"/>
  <c r="N61" i="20"/>
  <c r="N39" i="20"/>
  <c r="N83" i="20"/>
  <c r="H63" i="20"/>
  <c r="N97" i="20"/>
  <c r="H36" i="20"/>
  <c r="H48" i="20"/>
  <c r="H58" i="20"/>
  <c r="H68" i="20"/>
  <c r="H80" i="20"/>
  <c r="H90" i="20"/>
  <c r="H100" i="20"/>
  <c r="N44" i="20"/>
  <c r="N54" i="20"/>
  <c r="N64" i="20"/>
  <c r="N76" i="20"/>
  <c r="N86" i="20"/>
  <c r="N96" i="20"/>
  <c r="H49" i="20"/>
  <c r="H69" i="20"/>
  <c r="H89" i="20"/>
  <c r="N45" i="20"/>
  <c r="N85" i="20"/>
  <c r="H83" i="20"/>
  <c r="N89" i="20"/>
  <c r="N59" i="20"/>
  <c r="N99" i="20"/>
  <c r="H51" i="20"/>
  <c r="H79" i="20"/>
  <c r="N49" i="20"/>
  <c r="N63" i="20"/>
  <c r="H42" i="20"/>
  <c r="H64" i="20"/>
  <c r="H74" i="20"/>
  <c r="H96" i="20"/>
  <c r="N48" i="20"/>
  <c r="N70" i="20"/>
  <c r="N92" i="20"/>
  <c r="H57" i="20"/>
  <c r="H101" i="20"/>
  <c r="H59" i="20"/>
  <c r="N71" i="20"/>
  <c r="H39" i="20"/>
  <c r="N35" i="20"/>
  <c r="N95" i="20"/>
  <c r="H34" i="20"/>
  <c r="H44" i="20"/>
  <c r="H56" i="20"/>
  <c r="H66" i="20"/>
  <c r="H76" i="20"/>
  <c r="H88" i="20"/>
  <c r="H98" i="20"/>
  <c r="N40" i="20"/>
  <c r="N52" i="20"/>
  <c r="H43" i="20"/>
  <c r="H75" i="20"/>
  <c r="H65" i="20"/>
  <c r="N72" i="20"/>
  <c r="H33" i="20"/>
  <c r="N91" i="20"/>
  <c r="N77" i="20"/>
  <c r="H41" i="20"/>
  <c r="N62" i="20"/>
  <c r="H92" i="19"/>
  <c r="H99" i="19"/>
  <c r="H74" i="19"/>
  <c r="H42" i="19"/>
  <c r="N83" i="19"/>
  <c r="N51" i="19"/>
  <c r="H79" i="19"/>
  <c r="H47" i="19"/>
  <c r="H76" i="19"/>
  <c r="H97" i="19"/>
  <c r="H66" i="19"/>
  <c r="H34" i="19"/>
  <c r="N71" i="19"/>
  <c r="N39" i="19"/>
  <c r="H94" i="19"/>
  <c r="H78" i="19"/>
  <c r="H62" i="19"/>
  <c r="H46" i="19"/>
  <c r="N97" i="19"/>
  <c r="N81" i="19"/>
  <c r="N65" i="19"/>
  <c r="N49" i="19"/>
  <c r="H91" i="19"/>
  <c r="H75" i="19"/>
  <c r="H59" i="19"/>
  <c r="H43" i="19"/>
  <c r="N98" i="19"/>
  <c r="N90" i="19"/>
  <c r="N82" i="19"/>
  <c r="N74" i="19"/>
  <c r="N66" i="19"/>
  <c r="N58" i="19"/>
  <c r="N50" i="19"/>
  <c r="N42" i="19"/>
  <c r="N34" i="19"/>
  <c r="H39" i="19"/>
  <c r="H85" i="19"/>
  <c r="H53" i="19"/>
  <c r="N91" i="19"/>
  <c r="N59" i="19"/>
  <c r="H84" i="19"/>
  <c r="H52" i="19"/>
  <c r="H87" i="19"/>
  <c r="H101" i="19"/>
  <c r="H77" i="19"/>
  <c r="H45" i="19"/>
  <c r="N79" i="19"/>
  <c r="N47" i="19"/>
  <c r="H96" i="19"/>
  <c r="H81" i="19"/>
  <c r="H65" i="19"/>
  <c r="H49" i="19"/>
  <c r="N101" i="19"/>
  <c r="N85" i="19"/>
  <c r="N69" i="19"/>
  <c r="N53" i="19"/>
  <c r="N37" i="19"/>
  <c r="H80" i="19"/>
  <c r="H64" i="19"/>
  <c r="H48" i="19"/>
  <c r="N100" i="19"/>
  <c r="N92" i="19"/>
  <c r="N84" i="19"/>
  <c r="N76" i="19"/>
  <c r="N68" i="19"/>
  <c r="N60" i="19"/>
  <c r="N52" i="19"/>
  <c r="N44" i="19"/>
  <c r="N36" i="19"/>
  <c r="F21" i="4"/>
  <c r="L63" i="17"/>
  <c r="L93" i="17"/>
  <c r="L84" i="17"/>
  <c r="L52" i="17"/>
  <c r="F89" i="17"/>
  <c r="F57" i="17"/>
  <c r="F92" i="17"/>
  <c r="F60" i="17"/>
  <c r="L81" i="17"/>
  <c r="L57" i="17"/>
  <c r="L61" i="17"/>
  <c r="L76" i="17"/>
  <c r="L44" i="17"/>
  <c r="F81" i="17"/>
  <c r="F49" i="17"/>
  <c r="F84" i="17"/>
  <c r="F52" i="17"/>
  <c r="L71" i="17"/>
  <c r="L51" i="17"/>
  <c r="L92" i="17"/>
  <c r="L60" i="17"/>
  <c r="F97" i="17"/>
  <c r="F65" i="17"/>
  <c r="F100" i="17"/>
  <c r="F68" i="17"/>
  <c r="E20" i="4"/>
  <c r="F20" i="4"/>
  <c r="F17" i="4"/>
  <c r="F37" i="4" s="1"/>
  <c r="F16" i="4"/>
  <c r="F36" i="4" s="1"/>
  <c r="F22" i="4"/>
  <c r="E22" i="4"/>
  <c r="F19" i="18"/>
  <c r="F38" i="18" s="1"/>
  <c r="AI16" i="1"/>
  <c r="F36" i="17"/>
  <c r="N61" i="1"/>
  <c r="M61" i="1"/>
  <c r="AF7" i="1"/>
  <c r="AG7" i="1"/>
  <c r="AH7" i="1"/>
  <c r="AI7" i="1"/>
  <c r="L14" i="1"/>
  <c r="K15" i="1"/>
  <c r="L15" i="1" s="1"/>
  <c r="T15" i="1" s="1"/>
  <c r="K24" i="1"/>
  <c r="L24" i="1" s="1"/>
  <c r="L23" i="1"/>
  <c r="L49" i="17"/>
  <c r="L97" i="17"/>
  <c r="L39" i="17"/>
  <c r="L47" i="17"/>
  <c r="L41" i="17"/>
  <c r="L75" i="17"/>
  <c r="L43" i="17"/>
  <c r="L85" i="17"/>
  <c r="L53" i="17"/>
  <c r="L98" i="17"/>
  <c r="L90" i="17"/>
  <c r="L82" i="17"/>
  <c r="L74" i="17"/>
  <c r="L66" i="17"/>
  <c r="L58" i="17"/>
  <c r="L50" i="17"/>
  <c r="L42" i="17"/>
  <c r="L34" i="17"/>
  <c r="F95" i="17"/>
  <c r="F87" i="17"/>
  <c r="F79" i="17"/>
  <c r="F71" i="17"/>
  <c r="F63" i="17"/>
  <c r="F55" i="17"/>
  <c r="F47" i="17"/>
  <c r="F39" i="17"/>
  <c r="F98" i="17"/>
  <c r="F90" i="17"/>
  <c r="F82" i="17"/>
  <c r="F74" i="17"/>
  <c r="F66" i="17"/>
  <c r="F58" i="17"/>
  <c r="F50" i="17"/>
  <c r="F42" i="17"/>
  <c r="F34" i="17"/>
  <c r="F19" i="20"/>
  <c r="F34" i="20" s="1"/>
  <c r="N24" i="1"/>
  <c r="N27" i="1" s="1"/>
  <c r="M24" i="1"/>
  <c r="M27" i="1" s="1"/>
  <c r="F33" i="17"/>
  <c r="L65" i="17"/>
  <c r="L95" i="17"/>
  <c r="L89" i="17"/>
  <c r="L99" i="17"/>
  <c r="L67" i="17"/>
  <c r="L35" i="17"/>
  <c r="L77" i="17"/>
  <c r="L45" i="17"/>
  <c r="L96" i="17"/>
  <c r="L88" i="17"/>
  <c r="L80" i="17"/>
  <c r="L72" i="17"/>
  <c r="L64" i="17"/>
  <c r="L56" i="17"/>
  <c r="L48" i="17"/>
  <c r="L40" i="17"/>
  <c r="F101" i="17"/>
  <c r="F93" i="17"/>
  <c r="F85" i="17"/>
  <c r="F77" i="17"/>
  <c r="F69" i="17"/>
  <c r="F61" i="17"/>
  <c r="F53" i="17"/>
  <c r="F45" i="17"/>
  <c r="F37" i="17"/>
  <c r="F96" i="17"/>
  <c r="F88" i="17"/>
  <c r="F80" i="17"/>
  <c r="F72" i="17"/>
  <c r="F64" i="17"/>
  <c r="F56" i="17"/>
  <c r="F48" i="17"/>
  <c r="F40" i="17"/>
  <c r="N47" i="20"/>
  <c r="N65" i="20"/>
  <c r="H95" i="20"/>
  <c r="H67" i="20"/>
  <c r="H47" i="20"/>
  <c r="N33" i="20"/>
  <c r="N75" i="20"/>
  <c r="N87" i="20"/>
  <c r="N73" i="20"/>
  <c r="H91" i="20"/>
  <c r="N101" i="20"/>
  <c r="N69" i="20"/>
  <c r="N41" i="20"/>
  <c r="H93" i="20"/>
  <c r="H77" i="20"/>
  <c r="H61" i="20"/>
  <c r="H45" i="20"/>
  <c r="N98" i="20"/>
  <c r="N90" i="20"/>
  <c r="N82" i="20"/>
  <c r="N74" i="20"/>
  <c r="N66" i="20"/>
  <c r="N58" i="20"/>
  <c r="N50" i="20"/>
  <c r="N42" i="20"/>
  <c r="N34" i="20"/>
  <c r="H94" i="20"/>
  <c r="H86" i="20"/>
  <c r="H78" i="20"/>
  <c r="H70" i="20"/>
  <c r="H62" i="20"/>
  <c r="H54" i="20"/>
  <c r="H46" i="20"/>
  <c r="AI6" i="1"/>
  <c r="AF6" i="1"/>
  <c r="AG6" i="1"/>
  <c r="AH6" i="1"/>
  <c r="F19" i="19"/>
  <c r="L42" i="19" s="1"/>
  <c r="L87" i="17"/>
  <c r="L33" i="17"/>
  <c r="L79" i="17"/>
  <c r="L73" i="17"/>
  <c r="L91" i="17"/>
  <c r="L59" i="17"/>
  <c r="L101" i="17"/>
  <c r="L69" i="17"/>
  <c r="L37" i="17"/>
  <c r="L94" i="17"/>
  <c r="L86" i="17"/>
  <c r="L78" i="17"/>
  <c r="L70" i="17"/>
  <c r="L62" i="17"/>
  <c r="L54" i="17"/>
  <c r="L46" i="17"/>
  <c r="L38" i="17"/>
  <c r="F99" i="17"/>
  <c r="F91" i="17"/>
  <c r="F83" i="17"/>
  <c r="F75" i="17"/>
  <c r="F67" i="17"/>
  <c r="F59" i="17"/>
  <c r="F51" i="17"/>
  <c r="F43" i="17"/>
  <c r="F35" i="17"/>
  <c r="F94" i="17"/>
  <c r="F86" i="17"/>
  <c r="F78" i="17"/>
  <c r="F70" i="17"/>
  <c r="F62" i="17"/>
  <c r="F54" i="17"/>
  <c r="F46" i="17"/>
  <c r="V5" i="1"/>
  <c r="W5" i="1" s="1"/>
  <c r="AE5" i="1"/>
  <c r="Z7" i="1"/>
  <c r="H42" i="4" l="1"/>
  <c r="Y7" i="1"/>
  <c r="AA7" i="1"/>
  <c r="AH16" i="1"/>
  <c r="AC7" i="1"/>
  <c r="AG16" i="1"/>
  <c r="G15" i="4"/>
  <c r="H15" i="4" s="1"/>
  <c r="Z6" i="1"/>
  <c r="L27" i="1"/>
  <c r="L28" i="1" s="1"/>
  <c r="H103" i="17"/>
  <c r="H103" i="18"/>
  <c r="N103" i="18"/>
  <c r="F103" i="17"/>
  <c r="L103" i="17"/>
  <c r="H103" i="19"/>
  <c r="N103" i="19"/>
  <c r="I37" i="4"/>
  <c r="N103" i="20"/>
  <c r="H103" i="20"/>
  <c r="I36" i="4"/>
  <c r="H47" i="4"/>
  <c r="G20" i="4"/>
  <c r="H20" i="4" s="1"/>
  <c r="G21" i="4"/>
  <c r="H21" i="4" s="1"/>
  <c r="L71" i="20"/>
  <c r="G16" i="4"/>
  <c r="H16" i="4" s="1"/>
  <c r="Y6" i="1"/>
  <c r="AB6" i="1"/>
  <c r="N83" i="1"/>
  <c r="N85" i="1" s="1"/>
  <c r="E52" i="4"/>
  <c r="G52" i="4"/>
  <c r="H51" i="4"/>
  <c r="AA6" i="1"/>
  <c r="AC6" i="1"/>
  <c r="F52" i="4"/>
  <c r="M83" i="1"/>
  <c r="M85" i="1" s="1"/>
  <c r="G17" i="4"/>
  <c r="G37" i="4" s="1"/>
  <c r="H37" i="4" s="1"/>
  <c r="G22" i="4"/>
  <c r="H22" i="4" s="1"/>
  <c r="L59" i="19"/>
  <c r="F69" i="20"/>
  <c r="L69" i="20"/>
  <c r="F83" i="20"/>
  <c r="L95" i="20"/>
  <c r="F92" i="20"/>
  <c r="F85" i="20"/>
  <c r="L86" i="20"/>
  <c r="F35" i="20"/>
  <c r="L80" i="20"/>
  <c r="F68" i="20"/>
  <c r="L78" i="20"/>
  <c r="L82" i="20"/>
  <c r="L64" i="20"/>
  <c r="F60" i="20"/>
  <c r="L85" i="20"/>
  <c r="L87" i="20"/>
  <c r="F99" i="20"/>
  <c r="F57" i="20"/>
  <c r="F100" i="20"/>
  <c r="F36" i="20"/>
  <c r="F101" i="19"/>
  <c r="L63" i="19"/>
  <c r="F33" i="19"/>
  <c r="F87" i="19"/>
  <c r="F54" i="19"/>
  <c r="L90" i="19"/>
  <c r="F34" i="19"/>
  <c r="L81" i="19"/>
  <c r="F95" i="19"/>
  <c r="F100" i="19"/>
  <c r="F55" i="19"/>
  <c r="L87" i="18"/>
  <c r="L100" i="18"/>
  <c r="F37" i="18"/>
  <c r="L65" i="18"/>
  <c r="L92" i="18"/>
  <c r="F101" i="18"/>
  <c r="F40" i="18"/>
  <c r="F72" i="18"/>
  <c r="L78" i="18"/>
  <c r="F69" i="18"/>
  <c r="L80" i="18"/>
  <c r="L94" i="18"/>
  <c r="L95" i="18"/>
  <c r="L73" i="18"/>
  <c r="L41" i="18"/>
  <c r="F77" i="18"/>
  <c r="F45" i="18"/>
  <c r="F80" i="18"/>
  <c r="F48" i="18"/>
  <c r="L53" i="20"/>
  <c r="F53" i="20"/>
  <c r="L55" i="20"/>
  <c r="L62" i="20"/>
  <c r="F67" i="20"/>
  <c r="L50" i="20"/>
  <c r="L63" i="20"/>
  <c r="L48" i="20"/>
  <c r="F84" i="20"/>
  <c r="F52" i="20"/>
  <c r="L44" i="18"/>
  <c r="L66" i="18"/>
  <c r="L70" i="18"/>
  <c r="L79" i="18"/>
  <c r="L57" i="18"/>
  <c r="F93" i="18"/>
  <c r="F61" i="18"/>
  <c r="F96" i="18"/>
  <c r="F64" i="18"/>
  <c r="L99" i="19"/>
  <c r="F92" i="19"/>
  <c r="L49" i="19"/>
  <c r="L58" i="19"/>
  <c r="L101" i="20"/>
  <c r="F101" i="20"/>
  <c r="F37" i="20"/>
  <c r="L94" i="20"/>
  <c r="L46" i="20"/>
  <c r="F51" i="20"/>
  <c r="F89" i="20"/>
  <c r="L96" i="20"/>
  <c r="L40" i="20"/>
  <c r="F76" i="20"/>
  <c r="F44" i="20"/>
  <c r="L96" i="18"/>
  <c r="L74" i="18"/>
  <c r="L38" i="18"/>
  <c r="L56" i="18"/>
  <c r="L49" i="18"/>
  <c r="F85" i="18"/>
  <c r="F53" i="18"/>
  <c r="F88" i="18"/>
  <c r="F56" i="18"/>
  <c r="F82" i="19"/>
  <c r="F80" i="19"/>
  <c r="F90" i="19"/>
  <c r="L91" i="19"/>
  <c r="L43" i="19"/>
  <c r="L87" i="19"/>
  <c r="F88" i="19"/>
  <c r="F68" i="19"/>
  <c r="F94" i="19"/>
  <c r="L101" i="19"/>
  <c r="L69" i="19"/>
  <c r="L37" i="19"/>
  <c r="F79" i="19"/>
  <c r="F47" i="19"/>
  <c r="L82" i="19"/>
  <c r="L50" i="19"/>
  <c r="E17" i="4"/>
  <c r="E37" i="4" s="1"/>
  <c r="E15" i="4"/>
  <c r="E35" i="4" s="1"/>
  <c r="E16" i="4"/>
  <c r="E36" i="4" s="1"/>
  <c r="AI5" i="1"/>
  <c r="AF5" i="1"/>
  <c r="AH5" i="1"/>
  <c r="AG5" i="1"/>
  <c r="Z5" i="1"/>
  <c r="AC5" i="1"/>
  <c r="AB5" i="1"/>
  <c r="AA5" i="1"/>
  <c r="Y5" i="1"/>
  <c r="L95" i="19"/>
  <c r="F64" i="19"/>
  <c r="F74" i="19"/>
  <c r="L75" i="19"/>
  <c r="L35" i="19"/>
  <c r="L71" i="19"/>
  <c r="F56" i="19"/>
  <c r="F60" i="19"/>
  <c r="F86" i="19"/>
  <c r="L97" i="19"/>
  <c r="L65" i="19"/>
  <c r="L33" i="19"/>
  <c r="F71" i="19"/>
  <c r="F39" i="19"/>
  <c r="L74" i="19"/>
  <c r="L40" i="19"/>
  <c r="L48" i="19"/>
  <c r="L56" i="19"/>
  <c r="L64" i="19"/>
  <c r="L72" i="19"/>
  <c r="L80" i="19"/>
  <c r="L88" i="19"/>
  <c r="L96" i="19"/>
  <c r="F37" i="19"/>
  <c r="F45" i="19"/>
  <c r="F53" i="19"/>
  <c r="F61" i="19"/>
  <c r="F69" i="19"/>
  <c r="F77" i="19"/>
  <c r="F85" i="19"/>
  <c r="F93" i="19"/>
  <c r="L45" i="19"/>
  <c r="L61" i="19"/>
  <c r="L77" i="19"/>
  <c r="L93" i="19"/>
  <c r="F46" i="19"/>
  <c r="F78" i="19"/>
  <c r="F98" i="19"/>
  <c r="F52" i="19"/>
  <c r="F84" i="19"/>
  <c r="F72" i="19"/>
  <c r="L55" i="19"/>
  <c r="F66" i="19"/>
  <c r="L51" i="19"/>
  <c r="L83" i="19"/>
  <c r="F58" i="19"/>
  <c r="F99" i="19"/>
  <c r="L47" i="19"/>
  <c r="F50" i="19"/>
  <c r="L36" i="19"/>
  <c r="L44" i="19"/>
  <c r="L52" i="19"/>
  <c r="L60" i="19"/>
  <c r="L68" i="19"/>
  <c r="L76" i="19"/>
  <c r="L84" i="19"/>
  <c r="L92" i="19"/>
  <c r="L100" i="19"/>
  <c r="F41" i="19"/>
  <c r="F49" i="19"/>
  <c r="F57" i="19"/>
  <c r="F65" i="19"/>
  <c r="F73" i="19"/>
  <c r="F81" i="19"/>
  <c r="L38" i="19"/>
  <c r="L46" i="19"/>
  <c r="L54" i="19"/>
  <c r="L62" i="19"/>
  <c r="L70" i="19"/>
  <c r="L78" i="19"/>
  <c r="L86" i="19"/>
  <c r="L94" i="19"/>
  <c r="F35" i="19"/>
  <c r="F43" i="19"/>
  <c r="F51" i="19"/>
  <c r="F59" i="19"/>
  <c r="F67" i="19"/>
  <c r="F75" i="19"/>
  <c r="F83" i="19"/>
  <c r="F91" i="19"/>
  <c r="L41" i="19"/>
  <c r="L57" i="19"/>
  <c r="L73" i="19"/>
  <c r="L89" i="19"/>
  <c r="F38" i="19"/>
  <c r="F70" i="19"/>
  <c r="F96" i="19"/>
  <c r="F44" i="19"/>
  <c r="F76" i="19"/>
  <c r="L79" i="19"/>
  <c r="F48" i="19"/>
  <c r="F42" i="19"/>
  <c r="L67" i="19"/>
  <c r="F97" i="19"/>
  <c r="L39" i="19"/>
  <c r="F40" i="19"/>
  <c r="F36" i="19"/>
  <c r="F62" i="19"/>
  <c r="L85" i="19"/>
  <c r="L53" i="19"/>
  <c r="F89" i="19"/>
  <c r="F63" i="19"/>
  <c r="L98" i="19"/>
  <c r="L66" i="19"/>
  <c r="L34" i="19"/>
  <c r="N28" i="1"/>
  <c r="N29" i="1"/>
  <c r="L70" i="20"/>
  <c r="L54" i="20"/>
  <c r="L39" i="20"/>
  <c r="F91" i="20"/>
  <c r="F75" i="20"/>
  <c r="F59" i="20"/>
  <c r="F43" i="20"/>
  <c r="L98" i="20"/>
  <c r="L66" i="20"/>
  <c r="L37" i="20"/>
  <c r="F73" i="20"/>
  <c r="F41" i="20"/>
  <c r="L79" i="20"/>
  <c r="L47" i="20"/>
  <c r="L88" i="20"/>
  <c r="L72" i="20"/>
  <c r="L56" i="20"/>
  <c r="L44" i="20"/>
  <c r="L36" i="20"/>
  <c r="F96" i="20"/>
  <c r="F88" i="20"/>
  <c r="F80" i="20"/>
  <c r="F72" i="20"/>
  <c r="F64" i="20"/>
  <c r="F56" i="20"/>
  <c r="F48" i="20"/>
  <c r="F40" i="20"/>
  <c r="F33" i="18"/>
  <c r="L42" i="18"/>
  <c r="L86" i="18"/>
  <c r="L52" i="18"/>
  <c r="L54" i="18"/>
  <c r="L99" i="18"/>
  <c r="L91" i="18"/>
  <c r="L83" i="18"/>
  <c r="L72" i="18"/>
  <c r="L40" i="18"/>
  <c r="L69" i="18"/>
  <c r="L61" i="18"/>
  <c r="L53" i="18"/>
  <c r="L45" i="18"/>
  <c r="L37" i="18"/>
  <c r="F97" i="18"/>
  <c r="F89" i="18"/>
  <c r="F81" i="18"/>
  <c r="F73" i="18"/>
  <c r="F65" i="18"/>
  <c r="F57" i="18"/>
  <c r="F49" i="18"/>
  <c r="F41" i="18"/>
  <c r="F100" i="18"/>
  <c r="F92" i="18"/>
  <c r="F84" i="18"/>
  <c r="F76" i="18"/>
  <c r="F68" i="18"/>
  <c r="F60" i="18"/>
  <c r="F52" i="18"/>
  <c r="F44" i="18"/>
  <c r="F36" i="18"/>
  <c r="M29" i="1"/>
  <c r="M28" i="1"/>
  <c r="L74" i="20"/>
  <c r="L41" i="20"/>
  <c r="F77" i="20"/>
  <c r="F45" i="20"/>
  <c r="L76" i="20"/>
  <c r="L97" i="20"/>
  <c r="L81" i="20"/>
  <c r="L65" i="20"/>
  <c r="L49" i="20"/>
  <c r="L35" i="20"/>
  <c r="F87" i="20"/>
  <c r="F71" i="20"/>
  <c r="F55" i="20"/>
  <c r="F39" i="20"/>
  <c r="L93" i="20"/>
  <c r="L61" i="20"/>
  <c r="F97" i="20"/>
  <c r="F65" i="20"/>
  <c r="L100" i="20"/>
  <c r="L68" i="20"/>
  <c r="L99" i="20"/>
  <c r="L83" i="20"/>
  <c r="L67" i="20"/>
  <c r="L51" i="20"/>
  <c r="L42" i="20"/>
  <c r="L34" i="20"/>
  <c r="F94" i="20"/>
  <c r="F86" i="20"/>
  <c r="F78" i="20"/>
  <c r="F70" i="20"/>
  <c r="F62" i="20"/>
  <c r="F54" i="20"/>
  <c r="F46" i="20"/>
  <c r="F38" i="20"/>
  <c r="L84" i="18"/>
  <c r="L88" i="18"/>
  <c r="L76" i="18"/>
  <c r="L33" i="18"/>
  <c r="L98" i="18"/>
  <c r="L82" i="18"/>
  <c r="L36" i="18"/>
  <c r="L46" i="18"/>
  <c r="L97" i="18"/>
  <c r="L89" i="18"/>
  <c r="L81" i="18"/>
  <c r="L64" i="18"/>
  <c r="L75" i="18"/>
  <c r="L67" i="18"/>
  <c r="L59" i="18"/>
  <c r="L51" i="18"/>
  <c r="L43" i="18"/>
  <c r="L35" i="18"/>
  <c r="F95" i="18"/>
  <c r="F87" i="18"/>
  <c r="F79" i="18"/>
  <c r="F71" i="18"/>
  <c r="F63" i="18"/>
  <c r="F55" i="18"/>
  <c r="F47" i="18"/>
  <c r="F39" i="18"/>
  <c r="F98" i="18"/>
  <c r="F90" i="18"/>
  <c r="F82" i="18"/>
  <c r="F74" i="18"/>
  <c r="F66" i="18"/>
  <c r="F58" i="18"/>
  <c r="F50" i="18"/>
  <c r="F42" i="18"/>
  <c r="F34" i="18"/>
  <c r="L29" i="1"/>
  <c r="AE15" i="1"/>
  <c r="V15" i="1"/>
  <c r="W15" i="1" s="1"/>
  <c r="L90" i="20"/>
  <c r="L58" i="20"/>
  <c r="F93" i="20"/>
  <c r="F61" i="20"/>
  <c r="L92" i="20"/>
  <c r="L60" i="20"/>
  <c r="L89" i="20"/>
  <c r="L73" i="20"/>
  <c r="L57" i="20"/>
  <c r="L43" i="20"/>
  <c r="F95" i="20"/>
  <c r="F79" i="20"/>
  <c r="F63" i="20"/>
  <c r="F47" i="20"/>
  <c r="F33" i="20"/>
  <c r="L77" i="20"/>
  <c r="L45" i="20"/>
  <c r="F81" i="20"/>
  <c r="F49" i="20"/>
  <c r="L84" i="20"/>
  <c r="L52" i="20"/>
  <c r="L91" i="20"/>
  <c r="L75" i="20"/>
  <c r="L59" i="20"/>
  <c r="L33" i="20"/>
  <c r="L38" i="20"/>
  <c r="F98" i="20"/>
  <c r="F90" i="20"/>
  <c r="F82" i="20"/>
  <c r="F74" i="20"/>
  <c r="F66" i="20"/>
  <c r="F58" i="20"/>
  <c r="F50" i="20"/>
  <c r="F42" i="20"/>
  <c r="L17" i="1"/>
  <c r="L18" i="1" s="1"/>
  <c r="T14" i="1"/>
  <c r="L50" i="18"/>
  <c r="L60" i="18"/>
  <c r="L34" i="18"/>
  <c r="L58" i="18"/>
  <c r="L90" i="18"/>
  <c r="L68" i="18"/>
  <c r="L62" i="18"/>
  <c r="L101" i="18"/>
  <c r="L93" i="18"/>
  <c r="L85" i="18"/>
  <c r="L77" i="18"/>
  <c r="L48" i="18"/>
  <c r="L71" i="18"/>
  <c r="L63" i="18"/>
  <c r="L55" i="18"/>
  <c r="L47" i="18"/>
  <c r="L39" i="18"/>
  <c r="F99" i="18"/>
  <c r="F91" i="18"/>
  <c r="F83" i="18"/>
  <c r="F75" i="18"/>
  <c r="F67" i="18"/>
  <c r="F59" i="18"/>
  <c r="F51" i="18"/>
  <c r="F43" i="18"/>
  <c r="F35" i="18"/>
  <c r="F94" i="18"/>
  <c r="F86" i="18"/>
  <c r="F78" i="18"/>
  <c r="F70" i="18"/>
  <c r="F62" i="18"/>
  <c r="F54" i="18"/>
  <c r="F46" i="18"/>
  <c r="G35" i="4" l="1"/>
  <c r="H35" i="4" s="1"/>
  <c r="L103" i="18"/>
  <c r="F103" i="18"/>
  <c r="F103" i="19"/>
  <c r="L103" i="19"/>
  <c r="L103" i="20"/>
  <c r="F103" i="20"/>
  <c r="R15" i="1"/>
  <c r="R18" i="1" s="1"/>
  <c r="R19" i="1" s="1"/>
  <c r="R21" i="1" s="1"/>
  <c r="R22" i="1" s="1"/>
  <c r="G36" i="4"/>
  <c r="H36" i="4" s="1"/>
  <c r="F27" i="4"/>
  <c r="F25" i="4"/>
  <c r="F26" i="4"/>
  <c r="G25" i="4"/>
  <c r="H25" i="4" s="1"/>
  <c r="H53" i="4"/>
  <c r="H52" i="4"/>
  <c r="E25" i="4"/>
  <c r="E26" i="4"/>
  <c r="E27" i="4"/>
  <c r="G26" i="4"/>
  <c r="H26" i="4" s="1"/>
  <c r="N84" i="1"/>
  <c r="R14" i="1"/>
  <c r="G27" i="4"/>
  <c r="H27" i="4" s="1"/>
  <c r="M84" i="1"/>
  <c r="H17" i="4"/>
  <c r="V14" i="1"/>
  <c r="W14" i="1" s="1"/>
  <c r="AE14" i="1"/>
  <c r="AF15" i="1"/>
  <c r="AI15" i="1"/>
  <c r="AG15" i="1"/>
  <c r="AH15" i="1"/>
  <c r="Z15" i="1"/>
  <c r="AC15" i="1"/>
  <c r="AA15" i="1"/>
  <c r="Y15" i="1"/>
  <c r="AB15" i="1"/>
  <c r="X15" i="1"/>
  <c r="AH14" i="1" l="1"/>
  <c r="AF14" i="1"/>
  <c r="AG14" i="1"/>
  <c r="AI14" i="1"/>
  <c r="AB14" i="1"/>
  <c r="AC14" i="1"/>
  <c r="AA14" i="1"/>
  <c r="Y14" i="1"/>
  <c r="Z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Kinderopvang De Eerste Stap</author>
  </authors>
  <commentList>
    <comment ref="H249" authorId="0" shapeId="0" xr:uid="{00000000-0006-0000-0700-000001000000}">
      <text>
        <r>
          <rPr>
            <b/>
            <sz val="9"/>
            <color indexed="81"/>
            <rFont val="Tahoma"/>
            <family val="2"/>
          </rPr>
          <t>Kinderopvang De Eerste Stap:</t>
        </r>
        <r>
          <rPr>
            <sz val="9"/>
            <color indexed="81"/>
            <rFont val="Tahoma"/>
            <family val="2"/>
          </rPr>
          <t xml:space="preserve">
De afdeling Jonge Kind hebben 10 vrije vrijdagen in het schooljaar 2017-2018 (schoolgids Bolster 2017-2018)</t>
        </r>
      </text>
    </comment>
    <comment ref="H261" authorId="0" shapeId="0" xr:uid="{00000000-0006-0000-0700-000002000000}">
      <text>
        <r>
          <rPr>
            <b/>
            <sz val="9"/>
            <color indexed="81"/>
            <rFont val="Tahoma"/>
            <family val="2"/>
          </rPr>
          <t>Kinderopvang De Eerste Stap:</t>
        </r>
        <r>
          <rPr>
            <sz val="9"/>
            <color indexed="81"/>
            <rFont val="Tahoma"/>
            <family val="2"/>
          </rPr>
          <t xml:space="preserve">
De afdeling Jonge Kind hebben 10 vrije vrijdagen in het schooljaar 2017-2018 (schoolgids Bolster 2017-2018)</t>
        </r>
      </text>
    </comment>
  </commentList>
</comments>
</file>

<file path=xl/sharedStrings.xml><?xml version="1.0" encoding="utf-8"?>
<sst xmlns="http://schemas.openxmlformats.org/spreadsheetml/2006/main" count="556" uniqueCount="156">
  <si>
    <t>Voorbeeldberekening BSO Boxmeer 2025</t>
  </si>
  <si>
    <t>1.</t>
  </si>
  <si>
    <t>Kies hier uw gezinsinkomen</t>
  </si>
  <si>
    <t>van</t>
  </si>
  <si>
    <t>tot</t>
  </si>
  <si>
    <t>lager dan</t>
  </si>
  <si>
    <t>(Klik op het bedrag en vervolgens op het pijltje)</t>
  </si>
  <si>
    <t>2.</t>
  </si>
  <si>
    <t>Overzicht van de kosten per maand voor 1 dag per week opvang (prijzen per 1-1-2025)</t>
  </si>
  <si>
    <t xml:space="preserve">Opvangcontract
</t>
  </si>
  <si>
    <t>a.</t>
  </si>
  <si>
    <t>Voorschoolse opvang</t>
  </si>
  <si>
    <t>52 weken</t>
  </si>
  <si>
    <t>48 weken</t>
  </si>
  <si>
    <t>40 weken*</t>
  </si>
  <si>
    <t>40 weken in 
11 maanden*</t>
  </si>
  <si>
    <t>Bruto kosten</t>
  </si>
  <si>
    <r>
      <t>Netto maandprijs 1</t>
    </r>
    <r>
      <rPr>
        <vertAlign val="superscript"/>
        <sz val="10"/>
        <color theme="1"/>
        <rFont val="Verdana"/>
        <family val="2"/>
      </rPr>
      <t>e</t>
    </r>
    <r>
      <rPr>
        <sz val="10"/>
        <color theme="1"/>
        <rFont val="Verdana"/>
        <family val="2"/>
      </rPr>
      <t xml:space="preserve"> kind</t>
    </r>
    <r>
      <rPr>
        <sz val="8"/>
        <color theme="1"/>
        <rFont val="Verdana"/>
        <family val="2"/>
      </rPr>
      <t xml:space="preserve"> (na aftrek ko-toeslag)</t>
    </r>
  </si>
  <si>
    <r>
      <t>Netto maandprijs 2</t>
    </r>
    <r>
      <rPr>
        <vertAlign val="superscript"/>
        <sz val="10"/>
        <color theme="1"/>
        <rFont val="Verdana"/>
        <family val="2"/>
      </rPr>
      <t>e</t>
    </r>
    <r>
      <rPr>
        <sz val="10"/>
        <color theme="1"/>
        <rFont val="Verdana"/>
        <family val="2"/>
      </rPr>
      <t xml:space="preserve"> kind e.v.</t>
    </r>
    <r>
      <rPr>
        <sz val="8"/>
        <color theme="1"/>
        <rFont val="Verdana"/>
        <family val="2"/>
      </rPr>
      <t xml:space="preserve"> (na aftrek ko-toeslag)</t>
    </r>
  </si>
  <si>
    <t>b.</t>
  </si>
  <si>
    <t>Naschoolse opvang</t>
  </si>
  <si>
    <t>c.</t>
  </si>
  <si>
    <t>Voor- én naschoolse opvang</t>
  </si>
  <si>
    <t>* Een 40-wekencontract wordt in 11 termijnen per jaar gefactureerd. Juli wordt niet gefactureerd. Per saldo zijn de totale kosten per jaar uiteraard gelijk.</t>
  </si>
  <si>
    <t>3.</t>
  </si>
  <si>
    <t>Overige gegevens</t>
  </si>
  <si>
    <t>Uurprijzen</t>
  </si>
  <si>
    <t xml:space="preserve"> Verlengde opvang</t>
  </si>
  <si>
    <t>Bruto uurprijs</t>
  </si>
  <si>
    <r>
      <t>Netto uurprijs 1</t>
    </r>
    <r>
      <rPr>
        <vertAlign val="superscript"/>
        <sz val="10"/>
        <color theme="1"/>
        <rFont val="Verdana"/>
        <family val="2"/>
      </rPr>
      <t>e</t>
    </r>
    <r>
      <rPr>
        <sz val="10"/>
        <color theme="1"/>
        <rFont val="Verdana"/>
        <family val="2"/>
      </rPr>
      <t xml:space="preserve"> kind</t>
    </r>
    <r>
      <rPr>
        <sz val="8"/>
        <color theme="1"/>
        <rFont val="Verdana"/>
        <family val="2"/>
      </rPr>
      <t xml:space="preserve"> (na aftrek ko-toeslag)</t>
    </r>
  </si>
  <si>
    <r>
      <t>Netto uurprijs 2</t>
    </r>
    <r>
      <rPr>
        <vertAlign val="superscript"/>
        <sz val="10"/>
        <color theme="1"/>
        <rFont val="Verdana"/>
        <family val="2"/>
      </rPr>
      <t>e</t>
    </r>
    <r>
      <rPr>
        <sz val="10"/>
        <color theme="1"/>
        <rFont val="Verdana"/>
        <family val="2"/>
      </rPr>
      <t xml:space="preserve"> kind e.v.</t>
    </r>
    <r>
      <rPr>
        <sz val="8"/>
        <color theme="1"/>
        <rFont val="Verdana"/>
        <family val="2"/>
      </rPr>
      <t xml:space="preserve"> (na aftrek ko-toeslag)</t>
    </r>
  </si>
  <si>
    <t>Aantal uren per opvangcontract</t>
  </si>
  <si>
    <t>Uren per jaar</t>
  </si>
  <si>
    <t>Gemiddelde uren per maand</t>
  </si>
  <si>
    <t>Gemiddelde uren per maand in 11 termijnen</t>
  </si>
  <si>
    <t>Deze voorbeeldberekening is met de grootst mogelijke zorgvuldigheid tot stand gebracht, met de meest recente informatie van de Rijksoverheid. Ondanks alle zorgvuldigheid kunnen er echter fouten optreden. Er kunnen geen rechten ontleend worden aan deze voorbeeldberekening.</t>
  </si>
  <si>
    <r>
      <t>In de berekeningen is rekening gehouden met een maximum uurprijs voor kinderopvangtoeslag van € 9,52 voor de BSO en een indexatie van de inkomenstabel conform het</t>
    </r>
    <r>
      <rPr>
        <b/>
        <sz val="10"/>
        <color theme="1"/>
        <rFont val="Verdana"/>
        <family val="2"/>
      </rPr>
      <t> </t>
    </r>
    <r>
      <rPr>
        <b/>
        <i/>
        <sz val="10"/>
        <color theme="1"/>
        <rFont val="Verdana"/>
        <family val="2"/>
      </rPr>
      <t>besluit Kinderopvangtoeslag 2025.</t>
    </r>
  </si>
  <si>
    <t>Let op: Losse vakantieopvang is niet toegestaan.</t>
  </si>
  <si>
    <t>Ouderbijdragetabel Wet Kinderopvang 2022</t>
  </si>
  <si>
    <t>(bron: Staatsblad van het Koninkrijk der Nederlanden)</t>
  </si>
  <si>
    <t>Bereken de netto kosten van de opvang als volgt:</t>
  </si>
  <si>
    <t>Stap 1:</t>
  </si>
  <si>
    <t>Zoek uw gezamenlijk toetsingsinkomen (of verzamelinkomen) op.</t>
  </si>
  <si>
    <t>Stap 2:</t>
  </si>
  <si>
    <r>
      <t xml:space="preserve">Zoek de netto bijbehorende netto uurprijs op voor het kind met de </t>
    </r>
    <r>
      <rPr>
        <b/>
        <sz val="10"/>
        <color indexed="8"/>
        <rFont val="Tahoma"/>
        <family val="2"/>
      </rPr>
      <t xml:space="preserve">meeste </t>
    </r>
    <r>
      <rPr>
        <sz val="10"/>
        <color theme="1"/>
        <rFont val="Arial"/>
        <family val="2"/>
      </rPr>
      <t>opvanguren.</t>
    </r>
  </si>
  <si>
    <t>Vermenigvuldig de netto uurprijs met het aantal uren opvang per maand. U heeft nu</t>
  </si>
  <si>
    <t>de netto kosten per maand voor dit kind.</t>
  </si>
  <si>
    <t>(Zie voor het aantal uren opvang per maand de aan u toegestuurde "Bijlage bij overeenkomst 2025)</t>
  </si>
  <si>
    <t>Stap 3:</t>
  </si>
  <si>
    <r>
      <t xml:space="preserve">Zoek de bijbehorende netto uurprijs op voor het kind met de </t>
    </r>
    <r>
      <rPr>
        <b/>
        <sz val="10"/>
        <color indexed="8"/>
        <rFont val="Tahoma"/>
        <family val="2"/>
      </rPr>
      <t xml:space="preserve">minste </t>
    </r>
    <r>
      <rPr>
        <sz val="10"/>
        <color theme="1"/>
        <rFont val="Arial"/>
        <family val="2"/>
      </rPr>
      <t>opvanguren.</t>
    </r>
  </si>
  <si>
    <t>geen toeslag over:</t>
  </si>
  <si>
    <t>KDO toeslag over maximaal:</t>
  </si>
  <si>
    <t>BSO toeslag over maximaal:</t>
  </si>
  <si>
    <t>LET OP: maximaal tarief is hoger dan vastgesteld uurtarief. Dus toeslag gaat niet over maximaal uurtarief, maar over vastgesteld uurtarief!</t>
  </si>
  <si>
    <t>Stap 1</t>
  </si>
  <si>
    <t>Stap 2</t>
  </si>
  <si>
    <t>Stap 3</t>
  </si>
  <si>
    <t>(Gezamenlijk)</t>
  </si>
  <si>
    <t>Tegemoetkoming</t>
  </si>
  <si>
    <t>toetsingsinkomen</t>
  </si>
  <si>
    <t>Overheid</t>
  </si>
  <si>
    <t>2A</t>
  </si>
  <si>
    <t>2B</t>
  </si>
  <si>
    <t>3A</t>
  </si>
  <si>
    <t>3B</t>
  </si>
  <si>
    <t>Index 2021-22</t>
  </si>
  <si>
    <t>uurprijs KDO</t>
  </si>
  <si>
    <t>uurprijs BSO</t>
  </si>
  <si>
    <t>incl. 5 studiedagen</t>
  </si>
  <si>
    <t>eerste</t>
  </si>
  <si>
    <t>netto</t>
  </si>
  <si>
    <t>tweede en</t>
  </si>
  <si>
    <t>kind</t>
  </si>
  <si>
    <t>uurprijs</t>
  </si>
  <si>
    <t>volgende kind</t>
  </si>
  <si>
    <t>en hoger</t>
  </si>
  <si>
    <t>excl. studiedagen</t>
  </si>
  <si>
    <t>uur</t>
  </si>
  <si>
    <t>bruto</t>
  </si>
  <si>
    <t>opslag</t>
  </si>
  <si>
    <t>5-gelijke-dagen 14-18.00 uur</t>
  </si>
  <si>
    <t>De Bogaard/Ravelijn 5-gelijke-dagen 14.15u-18.00u</t>
  </si>
  <si>
    <t>gecontroleerd 7-11-2024</t>
  </si>
  <si>
    <t xml:space="preserve">De Bolster 5-gelijke-dagen 14.15-18.00 uur </t>
  </si>
  <si>
    <t>uurtarief:</t>
  </si>
  <si>
    <t>uren/dag/jaar</t>
  </si>
  <si>
    <t>Bedrag per maand</t>
  </si>
  <si>
    <t>Uren per maand</t>
  </si>
  <si>
    <t>Standaard 2011</t>
  </si>
  <si>
    <t>maandag</t>
  </si>
  <si>
    <t>dinsdag</t>
  </si>
  <si>
    <t>woensdag</t>
  </si>
  <si>
    <t>donderdag</t>
  </si>
  <si>
    <t>vrijdag</t>
  </si>
  <si>
    <t>VSO</t>
  </si>
  <si>
    <t>BSO</t>
  </si>
  <si>
    <t>NSO</t>
  </si>
  <si>
    <t>Gewogen</t>
  </si>
  <si>
    <t>Deelname 52
weken</t>
  </si>
  <si>
    <t>Deelname 48
weken</t>
  </si>
  <si>
    <t>Deelname 40
weken</t>
  </si>
  <si>
    <t>Schoolweken</t>
  </si>
  <si>
    <t>Vakantie</t>
  </si>
  <si>
    <t>Index</t>
  </si>
  <si>
    <t>deelname NSO</t>
  </si>
  <si>
    <t>deelname NSO++</t>
  </si>
  <si>
    <t>Standaard 2013</t>
  </si>
  <si>
    <t>Totaal verlies aan factureerbare uren</t>
  </si>
  <si>
    <t>Totaal verlies aan inkomsten</t>
  </si>
  <si>
    <t>Inkomsten in huidige begroting</t>
  </si>
  <si>
    <t>Verlies inkomsten i.v.m. 2011</t>
  </si>
  <si>
    <t>Verlies uitsluitend opvangcontracten continuerooster (40 weken school en 12 vakantie) is 6,8%</t>
  </si>
  <si>
    <t>Inkomsten nieuw</t>
  </si>
  <si>
    <t>Inclusief verrekening feestdagen (40 weken school en 12 vakantie) is dat 11,1%</t>
  </si>
  <si>
    <t>Kosten in huidige begroting</t>
  </si>
  <si>
    <t>Resultaat</t>
  </si>
  <si>
    <t>Totaal 52 weken</t>
  </si>
  <si>
    <t>Totaal 48 weken</t>
  </si>
  <si>
    <t>Totaal 40 weken</t>
  </si>
  <si>
    <t>Rendement</t>
  </si>
  <si>
    <t>Opvangcontract</t>
  </si>
  <si>
    <t>Continurooster</t>
  </si>
  <si>
    <t>NSO++</t>
  </si>
  <si>
    <t>in uren</t>
  </si>
  <si>
    <t>geïndexeerd</t>
  </si>
  <si>
    <t>Percentage deelname</t>
  </si>
  <si>
    <t>Index prijs</t>
  </si>
  <si>
    <t>Verlies uitsluitend feestagen (40 weken school en 12 vakantie) is 4%</t>
  </si>
  <si>
    <t>Verlies opvangcontracten inclusief feest, inclusief</t>
  </si>
  <si>
    <t>schoolweken is,</t>
  </si>
  <si>
    <t>ten opzichte van 2011.</t>
  </si>
  <si>
    <t xml:space="preserve"> </t>
  </si>
  <si>
    <t>5 gelijke dagen (tot 18.00 uur)</t>
  </si>
  <si>
    <t>schooltijden gecontroleerd 13-10-2022</t>
  </si>
  <si>
    <t>Schoolwkn</t>
  </si>
  <si>
    <t>Vakantiewkn</t>
  </si>
  <si>
    <t>Totaal</t>
  </si>
  <si>
    <t>Onderbouw</t>
  </si>
  <si>
    <t>1 tm 4</t>
  </si>
  <si>
    <t xml:space="preserve">
08.30-14.00</t>
  </si>
  <si>
    <t>per jaar</t>
  </si>
  <si>
    <t xml:space="preserve">per jaar
</t>
  </si>
  <si>
    <t>Bovenbouw</t>
  </si>
  <si>
    <t>5 tm 8</t>
  </si>
  <si>
    <t>40 weken</t>
  </si>
  <si>
    <t>x</t>
  </si>
  <si>
    <t>Bolster tot 18 uur</t>
  </si>
  <si>
    <t>8.45-14.15</t>
  </si>
  <si>
    <t>De Bogaard/Ravelijn tot 18 uur</t>
  </si>
  <si>
    <t>1 tm 2</t>
  </si>
  <si>
    <t>8.30-14.15</t>
  </si>
  <si>
    <t>3 tm 4</t>
  </si>
  <si>
    <t>46 weken</t>
  </si>
  <si>
    <t>5-gelijke-dagen 14u-18u m.u.v. Bogaard/Ravelijn en Bolster incl. 5 studiedagen</t>
  </si>
  <si>
    <t>De Bogaard/Ravelijn 5-gelijke-dagen 14.15u-18.00u incl. 5 studiedagen</t>
  </si>
  <si>
    <t>De Bolster tot 18.00u  incl. 5 studiedagen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</si>
</sst>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 #,##0;&quot;€&quot;\ \-#,##0"/>
    <numFmt numFmtId="6" formatCode="&quot;€&quot;\ #,##0;[Red]&quot;€&quot;\ \-#,##0"/>
    <numFmt numFmtId="8" formatCode="&quot;€&quot;\ #,##0.00;[Red]&quot;€&quot;\ \-#,##0.00"/>
    <numFmt numFmtId="44" formatCode="_ &quot;€&quot;\ * #,##0.00_ ;_ &quot;€&quot;\ * \-#,##0.00_ ;_ &quot;€&quot;\ * &quot;-&quot;??_ ;_ @_ "/>
    <numFmt numFmtId="43" formatCode="_ * #,##0.00_ ;_ * \-#,##0.00_ ;_ * &quot;-&quot;??_ ;_ @_ "/>
    <numFmt numFmtId="164" formatCode="0.0%"/>
    <numFmt numFmtId="165" formatCode="_ * #,##0_ ;_ * \-#,##0_ ;_ * &quot;-&quot;??_ ;_ @_ "/>
    <numFmt numFmtId="166" formatCode="&quot;€&quot;\ #,##0.00_);[Red]\(&quot;€&quot;\ #,##0.00\)"/>
    <numFmt numFmtId="167" formatCode="&quot;€&quot;\ #,##0.00"/>
    <numFmt numFmtId="168" formatCode="_-&quot;€&quot;\ * #,##0_-;_-&quot;€&quot;\ * #,##0\-;_-&quot;€&quot;\ * &quot;-&quot;??_-;_-@_-"/>
    <numFmt numFmtId="169" formatCode="_-&quot;€&quot;\ * #,##0.00_-;_-&quot;€&quot;\ * #,##0.00\-;_-&quot;€&quot;\ * &quot;-&quot;??_-;_-@_-"/>
    <numFmt numFmtId="170" formatCode="_ * #,##0.0_ ;_ * \-#,##0.0_ ;_ * &quot;-&quot;?_ ;_ @_ "/>
    <numFmt numFmtId="171" formatCode="_ * #,##0.0_ ;_ * \-#,##0.0_ ;_ * &quot;-&quot;??_ ;_ @_ "/>
    <numFmt numFmtId="172" formatCode="_ &quot;€&quot;\ * #,##0_ ;_ &quot;€&quot;\ * \-#,##0_ ;_ &quot;€&quot;\ * &quot;-&quot;??_ ;_ @_ "/>
    <numFmt numFmtId="173" formatCode="#,##0_ ;\-#,##0\ "/>
    <numFmt numFmtId="174" formatCode="_ * #,##0.000_ ;_ * \-#,##0.000_ ;_ * &quot;-&quot;??_ ;_ @_ "/>
    <numFmt numFmtId="175" formatCode="_-&quot;€&quot;\ * #,##0.00000_-;_-&quot;€&quot;\ * #,##0.00000\-;_-&quot;€&quot;\ * &quot;-&quot;??_-;_-@_-"/>
    <numFmt numFmtId="176" formatCode="&quot;€&quot;\ #,##0"/>
  </numFmts>
  <fonts count="70">
    <font>
      <sz val="10"/>
      <color theme="1"/>
      <name val="Arial"/>
      <family val="2"/>
    </font>
    <font>
      <sz val="9"/>
      <color theme="1"/>
      <name val="Verdana"/>
      <family val="2"/>
    </font>
    <font>
      <sz val="10"/>
      <color theme="1"/>
      <name val="Verdana"/>
      <family val="2"/>
    </font>
    <font>
      <sz val="9"/>
      <color theme="1"/>
      <name val="Verdana"/>
      <family val="2"/>
    </font>
    <font>
      <sz val="9"/>
      <color theme="1"/>
      <name val="Verdana"/>
      <family val="2"/>
    </font>
    <font>
      <sz val="10"/>
      <color theme="1"/>
      <name val="Arial"/>
      <family val="2"/>
    </font>
    <font>
      <sz val="10"/>
      <color rgb="FFFF0000"/>
      <name val="Arial"/>
      <family val="2"/>
    </font>
    <font>
      <b/>
      <sz val="10"/>
      <color theme="1"/>
      <name val="Arial"/>
      <family val="2"/>
    </font>
    <font>
      <sz val="10"/>
      <name val="Arial"/>
      <family val="2"/>
    </font>
    <font>
      <sz val="10"/>
      <color theme="0" tint="-0.249977111117893"/>
      <name val="Arial"/>
      <family val="2"/>
    </font>
    <font>
      <i/>
      <sz val="10"/>
      <color theme="1"/>
      <name val="Arial"/>
      <family val="2"/>
    </font>
    <font>
      <b/>
      <i/>
      <sz val="10"/>
      <color theme="1"/>
      <name val="Arial"/>
      <family val="2"/>
    </font>
    <font>
      <i/>
      <sz val="10"/>
      <color theme="0" tint="-0.499984740745262"/>
      <name val="Arial"/>
      <family val="2"/>
    </font>
    <font>
      <i/>
      <sz val="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sz val="10"/>
      <color theme="0"/>
      <name val="Arial"/>
      <family val="2"/>
    </font>
    <font>
      <sz val="10"/>
      <color rgb="FF00B050"/>
      <name val="Arial"/>
      <family val="2"/>
    </font>
    <font>
      <i/>
      <sz val="10"/>
      <color rgb="FF00B050"/>
      <name val="Arial"/>
      <family val="2"/>
    </font>
    <font>
      <b/>
      <sz val="16"/>
      <color theme="1"/>
      <name val="Tahoma"/>
      <family val="2"/>
    </font>
    <font>
      <b/>
      <sz val="11"/>
      <color theme="1"/>
      <name val="Tahoma"/>
      <family val="2"/>
    </font>
    <font>
      <b/>
      <sz val="12"/>
      <color theme="1"/>
      <name val="Tahoma"/>
      <family val="2"/>
    </font>
    <font>
      <b/>
      <sz val="10"/>
      <color theme="1"/>
      <name val="Tahoma"/>
      <family val="2"/>
    </font>
    <font>
      <sz val="10"/>
      <color theme="1"/>
      <name val="Tahoma"/>
      <family val="2"/>
    </font>
    <font>
      <i/>
      <sz val="10"/>
      <color theme="1"/>
      <name val="Tahoma"/>
      <family val="2"/>
    </font>
    <font>
      <sz val="10"/>
      <color rgb="FF000000"/>
      <name val="Calibri"/>
      <family val="2"/>
    </font>
    <font>
      <sz val="11"/>
      <color rgb="FF000000"/>
      <name val="Calibri"/>
      <family val="2"/>
    </font>
    <font>
      <sz val="12"/>
      <color rgb="FF000000"/>
      <name val="Calibri"/>
      <family val="2"/>
    </font>
    <font>
      <sz val="12"/>
      <color theme="1"/>
      <name val="Arial"/>
      <family val="2"/>
    </font>
    <font>
      <b/>
      <sz val="10"/>
      <color rgb="FFFF0000"/>
      <name val="Arial"/>
      <family val="2"/>
    </font>
    <font>
      <sz val="12"/>
      <name val="Arial"/>
      <family val="2"/>
    </font>
    <font>
      <b/>
      <sz val="10"/>
      <color indexed="8"/>
      <name val="Tahoma"/>
      <family val="2"/>
    </font>
    <font>
      <sz val="10"/>
      <color rgb="FF7030A0"/>
      <name val="Arial"/>
      <family val="2"/>
    </font>
    <font>
      <strike/>
      <sz val="10"/>
      <color theme="1"/>
      <name val="Arial"/>
      <family val="2"/>
    </font>
    <font>
      <sz val="9"/>
      <color rgb="FF000000"/>
      <name val="Arial"/>
      <family val="2"/>
    </font>
    <font>
      <b/>
      <sz val="18"/>
      <color theme="1"/>
      <name val="Verdana"/>
      <family val="2"/>
    </font>
    <font>
      <sz val="10"/>
      <color theme="1"/>
      <name val="Verdana"/>
      <family val="2"/>
    </font>
    <font>
      <b/>
      <sz val="20"/>
      <color theme="1"/>
      <name val="Verdana"/>
      <family val="2"/>
    </font>
    <font>
      <sz val="12"/>
      <color theme="1"/>
      <name val="Verdana"/>
      <family val="2"/>
    </font>
    <font>
      <b/>
      <sz val="12"/>
      <color theme="1"/>
      <name val="Verdana"/>
      <family val="2"/>
    </font>
    <font>
      <b/>
      <sz val="10"/>
      <color theme="1"/>
      <name val="Verdana"/>
      <family val="2"/>
    </font>
    <font>
      <b/>
      <i/>
      <sz val="10"/>
      <color theme="1"/>
      <name val="Verdana"/>
      <family val="2"/>
    </font>
    <font>
      <sz val="12"/>
      <name val="Verdana"/>
      <family val="2"/>
    </font>
    <font>
      <b/>
      <sz val="12"/>
      <name val="Verdana"/>
      <family val="2"/>
    </font>
    <font>
      <i/>
      <sz val="10"/>
      <color theme="1"/>
      <name val="Verdana"/>
      <family val="2"/>
    </font>
    <font>
      <sz val="10"/>
      <color rgb="FF3F3F76"/>
      <name val="Verdana"/>
      <family val="2"/>
    </font>
    <font>
      <sz val="12"/>
      <color rgb="FF7030A0"/>
      <name val="Verdana"/>
      <family val="2"/>
    </font>
    <font>
      <b/>
      <sz val="11"/>
      <color theme="1"/>
      <name val="Verdana"/>
      <family val="2"/>
    </font>
    <font>
      <b/>
      <sz val="10"/>
      <name val="Verdana"/>
      <family val="2"/>
    </font>
    <font>
      <sz val="10"/>
      <name val="Verdana"/>
      <family val="2"/>
    </font>
    <font>
      <vertAlign val="superscript"/>
      <sz val="10"/>
      <color theme="1"/>
      <name val="Verdana"/>
      <family val="2"/>
    </font>
    <font>
      <sz val="8"/>
      <color theme="1"/>
      <name val="Verdana"/>
      <family val="2"/>
    </font>
    <font>
      <sz val="9"/>
      <color indexed="81"/>
      <name val="Tahoma"/>
      <family val="2"/>
    </font>
    <font>
      <b/>
      <sz val="9"/>
      <color indexed="81"/>
      <name val="Tahoma"/>
      <family val="2"/>
    </font>
    <font>
      <sz val="9"/>
      <color rgb="FF333333"/>
      <name val="Verdana"/>
      <family val="2"/>
    </font>
    <font>
      <sz val="8"/>
      <color theme="1"/>
      <name val="Arial"/>
      <family val="2"/>
    </font>
    <font>
      <sz val="10"/>
      <color rgb="FFFF0000"/>
      <name val="Tahoma"/>
      <family val="2"/>
    </font>
    <font>
      <b/>
      <sz val="10"/>
      <color theme="0"/>
      <name val="Verdana"/>
      <family val="2"/>
    </font>
    <font>
      <sz val="10"/>
      <color theme="0"/>
      <name val="Verdana"/>
      <family val="2"/>
    </font>
  </fonts>
  <fills count="50">
    <fill>
      <patternFill patternType="none"/>
    </fill>
    <fill>
      <patternFill patternType="gray125"/>
    </fill>
    <fill>
      <patternFill patternType="solid">
        <fgColor theme="6" tint="0.7999816888943144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indexed="22"/>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theme="8" tint="0.59999389629810485"/>
        <bgColor indexed="64"/>
      </patternFill>
    </fill>
    <fill>
      <patternFill patternType="solid">
        <fgColor rgb="FFFFFF99"/>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3" tint="0.39997558519241921"/>
        <bgColor indexed="64"/>
      </patternFill>
    </fill>
    <fill>
      <patternFill patternType="solid">
        <fgColor rgb="FFFFFFFF"/>
        <bgColor indexed="64"/>
      </patternFill>
    </fill>
    <fill>
      <patternFill patternType="solid">
        <fgColor theme="0"/>
        <bgColor indexed="64"/>
      </patternFill>
    </fill>
  </fills>
  <borders count="4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rgb="FF888888"/>
      </left>
      <right style="medium">
        <color rgb="FF888888"/>
      </right>
      <top style="medium">
        <color rgb="FF888888"/>
      </top>
      <bottom style="medium">
        <color rgb="FF888888"/>
      </bottom>
      <diagonal/>
    </border>
  </borders>
  <cellStyleXfs count="93">
    <xf numFmtId="0" fontId="0" fillId="0" borderId="0"/>
    <xf numFmtId="43" fontId="5" fillId="0" borderId="0" applyFont="0" applyFill="0" applyBorder="0" applyAlignment="0" applyProtection="0"/>
    <xf numFmtId="9" fontId="5" fillId="0" borderId="0" applyFont="0" applyFill="0" applyBorder="0" applyAlignment="0" applyProtection="0"/>
    <xf numFmtId="0" fontId="14" fillId="0" borderId="0" applyNumberFormat="0" applyFill="0" applyBorder="0" applyAlignment="0" applyProtection="0"/>
    <xf numFmtId="0" fontId="15" fillId="0" borderId="21" applyNumberFormat="0" applyFill="0" applyAlignment="0" applyProtection="0"/>
    <xf numFmtId="0" fontId="16" fillId="0" borderId="22" applyNumberFormat="0" applyFill="0" applyAlignment="0" applyProtection="0"/>
    <xf numFmtId="0" fontId="17" fillId="0" borderId="23" applyNumberFormat="0" applyFill="0" applyAlignment="0" applyProtection="0"/>
    <xf numFmtId="0" fontId="17" fillId="0" borderId="0" applyNumberFormat="0" applyFill="0" applyBorder="0" applyAlignment="0" applyProtection="0"/>
    <xf numFmtId="0" fontId="18" fillId="10"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1" fillId="13" borderId="24" applyNumberFormat="0" applyAlignment="0" applyProtection="0"/>
    <xf numFmtId="0" fontId="22" fillId="14" borderId="25" applyNumberFormat="0" applyAlignment="0" applyProtection="0"/>
    <xf numFmtId="0" fontId="23" fillId="14" borderId="24" applyNumberFormat="0" applyAlignment="0" applyProtection="0"/>
    <xf numFmtId="0" fontId="24" fillId="0" borderId="26" applyNumberFormat="0" applyFill="0" applyAlignment="0" applyProtection="0"/>
    <xf numFmtId="0" fontId="25" fillId="15" borderId="27" applyNumberFormat="0" applyAlignment="0" applyProtection="0"/>
    <xf numFmtId="0" fontId="6" fillId="0" borderId="0" applyNumberFormat="0" applyFill="0" applyBorder="0" applyAlignment="0" applyProtection="0"/>
    <xf numFmtId="0" fontId="5" fillId="16" borderId="28" applyNumberFormat="0" applyFont="0" applyAlignment="0" applyProtection="0"/>
    <xf numFmtId="0" fontId="26" fillId="0" borderId="0" applyNumberFormat="0" applyFill="0" applyBorder="0" applyAlignment="0" applyProtection="0"/>
    <xf numFmtId="0" fontId="7" fillId="0" borderId="29" applyNumberFormat="0" applyFill="0" applyAlignment="0" applyProtection="0"/>
    <xf numFmtId="0" fontId="27"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27" fillId="36" borderId="0" applyNumberFormat="0" applyBorder="0" applyAlignment="0" applyProtection="0"/>
    <xf numFmtId="0" fontId="27" fillId="37"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27" fillId="40" borderId="0" applyNumberFormat="0" applyBorder="0" applyAlignment="0" applyProtection="0"/>
    <xf numFmtId="44" fontId="5" fillId="0" borderId="0" applyFont="0" applyFill="0" applyBorder="0" applyAlignment="0" applyProtection="0"/>
    <xf numFmtId="0" fontId="4" fillId="0" borderId="0"/>
    <xf numFmtId="0" fontId="3"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15" fillId="0" borderId="21" applyNumberFormat="0" applyFill="0" applyAlignment="0" applyProtection="0"/>
    <xf numFmtId="0" fontId="16" fillId="0" borderId="22" applyNumberFormat="0" applyFill="0" applyAlignment="0" applyProtection="0"/>
    <xf numFmtId="0" fontId="17" fillId="0" borderId="23" applyNumberFormat="0" applyFill="0" applyAlignment="0" applyProtection="0"/>
    <xf numFmtId="0" fontId="17" fillId="0" borderId="0" applyNumberFormat="0" applyFill="0" applyBorder="0" applyAlignment="0" applyProtection="0"/>
    <xf numFmtId="0" fontId="18" fillId="10"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1" fillId="13" borderId="24" applyNumberFormat="0" applyAlignment="0" applyProtection="0"/>
    <xf numFmtId="0" fontId="22" fillId="14" borderId="25" applyNumberFormat="0" applyAlignment="0" applyProtection="0"/>
    <xf numFmtId="0" fontId="23" fillId="14" borderId="24" applyNumberFormat="0" applyAlignment="0" applyProtection="0"/>
    <xf numFmtId="0" fontId="24" fillId="0" borderId="26" applyNumberFormat="0" applyFill="0" applyAlignment="0" applyProtection="0"/>
    <xf numFmtId="0" fontId="25" fillId="15" borderId="27" applyNumberFormat="0" applyAlignment="0" applyProtection="0"/>
    <xf numFmtId="0" fontId="6" fillId="0" borderId="0" applyNumberFormat="0" applyFill="0" applyBorder="0" applyAlignment="0" applyProtection="0"/>
    <xf numFmtId="0" fontId="5" fillId="16" borderId="28" applyNumberFormat="0" applyFont="0" applyAlignment="0" applyProtection="0"/>
    <xf numFmtId="0" fontId="26" fillId="0" borderId="0" applyNumberFormat="0" applyFill="0" applyBorder="0" applyAlignment="0" applyProtection="0"/>
    <xf numFmtId="0" fontId="7" fillId="0" borderId="29" applyNumberFormat="0" applyFill="0" applyAlignment="0" applyProtection="0"/>
    <xf numFmtId="0" fontId="27"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27" fillId="36" borderId="0" applyNumberFormat="0" applyBorder="0" applyAlignment="0" applyProtection="0"/>
    <xf numFmtId="0" fontId="27" fillId="37"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27" fillId="40" borderId="0" applyNumberFormat="0" applyBorder="0" applyAlignment="0" applyProtection="0"/>
    <xf numFmtId="44" fontId="5"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cellStyleXfs>
  <cellXfs count="334">
    <xf numFmtId="0" fontId="0" fillId="0" borderId="0" xfId="0"/>
    <xf numFmtId="0" fontId="0" fillId="3" borderId="5" xfId="0" applyFill="1"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0" xfId="0" applyAlignment="1">
      <alignment wrapText="1"/>
    </xf>
    <xf numFmtId="0" fontId="6" fillId="0" borderId="0" xfId="0" applyFont="1"/>
    <xf numFmtId="0" fontId="0" fillId="0" borderId="10" xfId="0" applyBorder="1"/>
    <xf numFmtId="0" fontId="0" fillId="0" borderId="1" xfId="0" applyBorder="1"/>
    <xf numFmtId="2" fontId="0" fillId="0" borderId="0" xfId="0" applyNumberFormat="1"/>
    <xf numFmtId="0" fontId="6" fillId="0" borderId="0" xfId="0" applyFont="1" applyAlignment="1">
      <alignment wrapText="1"/>
    </xf>
    <xf numFmtId="0" fontId="0" fillId="3" borderId="6" xfId="0" applyFill="1" applyBorder="1"/>
    <xf numFmtId="0" fontId="8" fillId="0" borderId="0" xfId="0" applyFont="1"/>
    <xf numFmtId="167" fontId="0" fillId="0" borderId="0" xfId="0" applyNumberFormat="1"/>
    <xf numFmtId="167" fontId="7" fillId="0" borderId="0" xfId="0" applyNumberFormat="1" applyFont="1"/>
    <xf numFmtId="0" fontId="7" fillId="0" borderId="0" xfId="0" applyFont="1" applyAlignment="1">
      <alignment horizontal="right"/>
    </xf>
    <xf numFmtId="0" fontId="7" fillId="0" borderId="0" xfId="0" applyFont="1"/>
    <xf numFmtId="167" fontId="9" fillId="0" borderId="0" xfId="0" applyNumberFormat="1" applyFont="1"/>
    <xf numFmtId="0" fontId="10" fillId="0" borderId="13" xfId="0" applyFont="1" applyBorder="1"/>
    <xf numFmtId="0" fontId="10" fillId="0" borderId="0" xfId="0" applyFont="1"/>
    <xf numFmtId="0" fontId="11" fillId="0" borderId="0" xfId="0" applyFont="1" applyAlignment="1">
      <alignment horizontal="right"/>
    </xf>
    <xf numFmtId="167" fontId="11" fillId="0" borderId="0" xfId="0" applyNumberFormat="1" applyFont="1"/>
    <xf numFmtId="0" fontId="11" fillId="0" borderId="0" xfId="0" applyFont="1"/>
    <xf numFmtId="0" fontId="10" fillId="0" borderId="15" xfId="0" applyFont="1" applyBorder="1"/>
    <xf numFmtId="2" fontId="10" fillId="0" borderId="0" xfId="0" applyNumberFormat="1" applyFont="1"/>
    <xf numFmtId="167" fontId="10" fillId="0" borderId="0" xfId="0" applyNumberFormat="1" applyFont="1"/>
    <xf numFmtId="167" fontId="12" fillId="0" borderId="0" xfId="0" applyNumberFormat="1" applyFont="1"/>
    <xf numFmtId="0" fontId="10" fillId="0" borderId="17" xfId="0" applyFont="1" applyBorder="1"/>
    <xf numFmtId="0" fontId="10" fillId="0" borderId="18" xfId="0" applyFont="1" applyBorder="1"/>
    <xf numFmtId="167" fontId="7" fillId="0" borderId="0" xfId="0" applyNumberFormat="1" applyFont="1" applyAlignment="1">
      <alignment horizontal="left"/>
    </xf>
    <xf numFmtId="4" fontId="0" fillId="0" borderId="0" xfId="0" applyNumberFormat="1"/>
    <xf numFmtId="0" fontId="7" fillId="8" borderId="0" xfId="0" applyFont="1" applyFill="1"/>
    <xf numFmtId="0" fontId="0" fillId="7" borderId="5" xfId="0" applyFill="1" applyBorder="1"/>
    <xf numFmtId="0" fontId="0" fillId="7" borderId="6" xfId="0" applyFill="1" applyBorder="1"/>
    <xf numFmtId="0" fontId="0" fillId="0" borderId="0" xfId="0" applyAlignment="1">
      <alignment horizontal="left"/>
    </xf>
    <xf numFmtId="0" fontId="6" fillId="0" borderId="8" xfId="0" applyFont="1" applyBorder="1"/>
    <xf numFmtId="0" fontId="6" fillId="0" borderId="0" xfId="0" applyFont="1" applyAlignment="1">
      <alignment horizontal="left"/>
    </xf>
    <xf numFmtId="0" fontId="6" fillId="0" borderId="9" xfId="0" applyFont="1" applyBorder="1"/>
    <xf numFmtId="167" fontId="6" fillId="0" borderId="0" xfId="0" applyNumberFormat="1" applyFont="1"/>
    <xf numFmtId="0" fontId="0" fillId="0" borderId="5" xfId="0" applyBorder="1"/>
    <xf numFmtId="167" fontId="0" fillId="0" borderId="8" xfId="0" applyNumberFormat="1" applyBorder="1"/>
    <xf numFmtId="2" fontId="0" fillId="0" borderId="9" xfId="0" applyNumberFormat="1" applyBorder="1"/>
    <xf numFmtId="0" fontId="0" fillId="0" borderId="11" xfId="0" applyBorder="1"/>
    <xf numFmtId="167" fontId="0" fillId="0" borderId="10" xfId="0" applyNumberFormat="1" applyBorder="1"/>
    <xf numFmtId="167" fontId="0" fillId="0" borderId="1" xfId="0" applyNumberFormat="1" applyBorder="1"/>
    <xf numFmtId="4" fontId="0" fillId="0" borderId="1" xfId="0" applyNumberFormat="1" applyBorder="1"/>
    <xf numFmtId="2" fontId="0" fillId="0" borderId="1" xfId="0" applyNumberFormat="1" applyBorder="1"/>
    <xf numFmtId="2" fontId="0" fillId="0" borderId="11" xfId="0" applyNumberFormat="1" applyBorder="1"/>
    <xf numFmtId="0" fontId="0" fillId="0" borderId="0" xfId="0" applyAlignment="1">
      <alignment horizontal="right"/>
    </xf>
    <xf numFmtId="0" fontId="13" fillId="0" borderId="13" xfId="0" applyFont="1" applyBorder="1"/>
    <xf numFmtId="0" fontId="13" fillId="0" borderId="14" xfId="0" applyFont="1" applyBorder="1"/>
    <xf numFmtId="0" fontId="13" fillId="0" borderId="0" xfId="0" applyFont="1"/>
    <xf numFmtId="0" fontId="13" fillId="0" borderId="16" xfId="0" applyFont="1" applyBorder="1"/>
    <xf numFmtId="0" fontId="13" fillId="0" borderId="18" xfId="0" applyFont="1" applyBorder="1"/>
    <xf numFmtId="0" fontId="13" fillId="0" borderId="19" xfId="0" applyFont="1" applyBorder="1"/>
    <xf numFmtId="0" fontId="8" fillId="0" borderId="6" xfId="0" applyFont="1" applyBorder="1"/>
    <xf numFmtId="0" fontId="8" fillId="0" borderId="0" xfId="0" applyFont="1" applyAlignment="1">
      <alignment wrapText="1"/>
    </xf>
    <xf numFmtId="2" fontId="8" fillId="0" borderId="0" xfId="0" applyNumberFormat="1" applyFont="1"/>
    <xf numFmtId="0" fontId="8" fillId="0" borderId="1" xfId="0" applyFont="1" applyBorder="1"/>
    <xf numFmtId="0" fontId="8" fillId="0" borderId="0" xfId="0" quotePrefix="1" applyFont="1" applyAlignment="1">
      <alignment wrapText="1"/>
    </xf>
    <xf numFmtId="1" fontId="8" fillId="0" borderId="0" xfId="0" applyNumberFormat="1" applyFont="1"/>
    <xf numFmtId="0" fontId="8" fillId="9" borderId="0" xfId="0" applyFont="1" applyFill="1" applyAlignment="1">
      <alignment wrapText="1"/>
    </xf>
    <xf numFmtId="0" fontId="13" fillId="0" borderId="1" xfId="0" applyFont="1" applyBorder="1"/>
    <xf numFmtId="0" fontId="13" fillId="9" borderId="1" xfId="0" applyFont="1" applyFill="1" applyBorder="1"/>
    <xf numFmtId="0" fontId="8" fillId="9" borderId="1" xfId="0" applyFont="1" applyFill="1" applyBorder="1"/>
    <xf numFmtId="0" fontId="8" fillId="0" borderId="0" xfId="0" applyFont="1" applyAlignment="1">
      <alignment horizontal="center"/>
    </xf>
    <xf numFmtId="0" fontId="10" fillId="0" borderId="12" xfId="0" applyFont="1" applyBorder="1"/>
    <xf numFmtId="2" fontId="13" fillId="0" borderId="0" xfId="0" applyNumberFormat="1" applyFont="1"/>
    <xf numFmtId="164" fontId="13" fillId="0" borderId="0" xfId="2" applyNumberFormat="1" applyFont="1" applyFill="1" applyBorder="1"/>
    <xf numFmtId="0" fontId="28" fillId="0" borderId="0" xfId="0" applyFont="1"/>
    <xf numFmtId="165" fontId="29" fillId="0" borderId="0" xfId="1" applyNumberFormat="1" applyFont="1" applyFill="1" applyBorder="1"/>
    <xf numFmtId="165" fontId="29" fillId="0" borderId="16" xfId="0" applyNumberFormat="1" applyFont="1" applyBorder="1"/>
    <xf numFmtId="0" fontId="29" fillId="0" borderId="19" xfId="0" applyFont="1" applyBorder="1"/>
    <xf numFmtId="164" fontId="29" fillId="0" borderId="0" xfId="2" applyNumberFormat="1" applyFont="1" applyFill="1" applyBorder="1"/>
    <xf numFmtId="0" fontId="30" fillId="0" borderId="0" xfId="0" applyFont="1"/>
    <xf numFmtId="0" fontId="31" fillId="0" borderId="0" xfId="0" applyFont="1"/>
    <xf numFmtId="0" fontId="32" fillId="0" borderId="0" xfId="0" applyFont="1"/>
    <xf numFmtId="168" fontId="0" fillId="0" borderId="0" xfId="0" applyNumberFormat="1"/>
    <xf numFmtId="10" fontId="34" fillId="0" borderId="0" xfId="2" applyNumberFormat="1" applyFont="1"/>
    <xf numFmtId="169" fontId="0" fillId="0" borderId="0" xfId="0" applyNumberFormat="1"/>
    <xf numFmtId="43" fontId="34" fillId="0" borderId="0" xfId="1" applyFont="1"/>
    <xf numFmtId="43" fontId="0" fillId="0" borderId="0" xfId="0" applyNumberFormat="1"/>
    <xf numFmtId="49" fontId="0" fillId="0" borderId="0" xfId="0" applyNumberFormat="1"/>
    <xf numFmtId="168" fontId="0" fillId="2" borderId="0" xfId="0" applyNumberFormat="1" applyFill="1"/>
    <xf numFmtId="0" fontId="0" fillId="4" borderId="0" xfId="0" applyFill="1"/>
    <xf numFmtId="169" fontId="0" fillId="4" borderId="0" xfId="0" applyNumberFormat="1" applyFill="1"/>
    <xf numFmtId="0" fontId="0" fillId="6" borderId="0" xfId="0" applyFill="1"/>
    <xf numFmtId="169" fontId="33" fillId="4" borderId="0" xfId="0" applyNumberFormat="1" applyFont="1" applyFill="1" applyAlignment="1">
      <alignment horizontal="center"/>
    </xf>
    <xf numFmtId="0" fontId="33" fillId="4" borderId="0" xfId="0" applyFont="1" applyFill="1" applyAlignment="1">
      <alignment horizontal="center"/>
    </xf>
    <xf numFmtId="0" fontId="33" fillId="6" borderId="0" xfId="0" applyFont="1" applyFill="1" applyAlignment="1">
      <alignment horizontal="center"/>
    </xf>
    <xf numFmtId="10" fontId="34" fillId="4" borderId="0" xfId="2" applyNumberFormat="1" applyFont="1" applyFill="1"/>
    <xf numFmtId="169" fontId="33" fillId="4" borderId="0" xfId="0" applyNumberFormat="1" applyFont="1" applyFill="1" applyAlignment="1">
      <alignment horizontal="right"/>
    </xf>
    <xf numFmtId="0" fontId="0" fillId="4" borderId="0" xfId="0" applyFill="1" applyAlignment="1">
      <alignment horizontal="right"/>
    </xf>
    <xf numFmtId="10" fontId="34" fillId="6" borderId="0" xfId="2" applyNumberFormat="1" applyFont="1" applyFill="1"/>
    <xf numFmtId="169" fontId="33" fillId="6" borderId="0" xfId="0" applyNumberFormat="1" applyFont="1" applyFill="1" applyAlignment="1">
      <alignment horizontal="right"/>
    </xf>
    <xf numFmtId="0" fontId="0" fillId="6" borderId="0" xfId="0" applyFill="1" applyAlignment="1">
      <alignment horizontal="right"/>
    </xf>
    <xf numFmtId="169" fontId="0" fillId="6" borderId="0" xfId="0" applyNumberFormat="1" applyFill="1"/>
    <xf numFmtId="168" fontId="0" fillId="2" borderId="31" xfId="0" applyNumberFormat="1" applyFill="1" applyBorder="1"/>
    <xf numFmtId="169" fontId="0" fillId="4" borderId="31" xfId="0" applyNumberFormat="1" applyFill="1" applyBorder="1"/>
    <xf numFmtId="169" fontId="0" fillId="6" borderId="31" xfId="0" applyNumberFormat="1" applyFill="1" applyBorder="1"/>
    <xf numFmtId="168" fontId="0" fillId="2" borderId="20" xfId="0" applyNumberFormat="1" applyFill="1" applyBorder="1"/>
    <xf numFmtId="169" fontId="0" fillId="4" borderId="20" xfId="0" applyNumberFormat="1" applyFill="1" applyBorder="1"/>
    <xf numFmtId="169" fontId="0" fillId="6" borderId="20" xfId="0" applyNumberFormat="1" applyFill="1" applyBorder="1"/>
    <xf numFmtId="44" fontId="0" fillId="0" borderId="0" xfId="0" applyNumberFormat="1"/>
    <xf numFmtId="1" fontId="0" fillId="0" borderId="0" xfId="0" applyNumberFormat="1"/>
    <xf numFmtId="10" fontId="0" fillId="0" borderId="0" xfId="0" applyNumberFormat="1"/>
    <xf numFmtId="168" fontId="35" fillId="0" borderId="0" xfId="0" applyNumberFormat="1" applyFont="1"/>
    <xf numFmtId="165" fontId="8" fillId="0" borderId="0" xfId="1" applyNumberFormat="1" applyFont="1" applyFill="1" applyBorder="1"/>
    <xf numFmtId="9" fontId="10" fillId="0" borderId="0" xfId="2" applyFont="1" applyFill="1"/>
    <xf numFmtId="0" fontId="8" fillId="0" borderId="8" xfId="0" applyFont="1" applyBorder="1"/>
    <xf numFmtId="0" fontId="8" fillId="0" borderId="9" xfId="0" applyFont="1" applyBorder="1"/>
    <xf numFmtId="0" fontId="8" fillId="0" borderId="9" xfId="0" applyFont="1" applyBorder="1" applyAlignment="1">
      <alignment horizontal="center" vertical="top"/>
    </xf>
    <xf numFmtId="165" fontId="29" fillId="0" borderId="8" xfId="0" applyNumberFormat="1" applyFont="1" applyBorder="1"/>
    <xf numFmtId="165" fontId="29" fillId="0" borderId="11" xfId="1" applyNumberFormat="1" applyFont="1" applyFill="1" applyBorder="1"/>
    <xf numFmtId="0" fontId="13" fillId="0" borderId="10" xfId="0" applyFont="1" applyBorder="1"/>
    <xf numFmtId="165" fontId="29" fillId="0" borderId="1" xfId="1" applyNumberFormat="1" applyFont="1" applyFill="1" applyBorder="1"/>
    <xf numFmtId="0" fontId="8" fillId="0" borderId="9" xfId="0" applyFont="1" applyBorder="1" applyAlignment="1">
      <alignment horizontal="center"/>
    </xf>
    <xf numFmtId="0" fontId="8" fillId="0" borderId="3" xfId="0" applyFont="1" applyBorder="1"/>
    <xf numFmtId="164" fontId="29" fillId="0" borderId="3" xfId="2" applyNumberFormat="1" applyFont="1" applyFill="1" applyBorder="1"/>
    <xf numFmtId="0" fontId="8" fillId="0" borderId="5" xfId="0" applyFont="1" applyBorder="1"/>
    <xf numFmtId="165" fontId="29" fillId="0" borderId="9" xfId="0" applyNumberFormat="1" applyFont="1" applyBorder="1"/>
    <xf numFmtId="0" fontId="8" fillId="0" borderId="7" xfId="0" applyFont="1" applyBorder="1"/>
    <xf numFmtId="0" fontId="8" fillId="0" borderId="8" xfId="0" applyFont="1" applyBorder="1" applyAlignment="1">
      <alignment horizontal="center" vertical="top"/>
    </xf>
    <xf numFmtId="0" fontId="10" fillId="0" borderId="0" xfId="0" applyFont="1" applyAlignment="1">
      <alignment horizontal="center"/>
    </xf>
    <xf numFmtId="0" fontId="0" fillId="0" borderId="3" xfId="0" applyBorder="1"/>
    <xf numFmtId="0" fontId="0" fillId="0" borderId="2" xfId="0" applyBorder="1"/>
    <xf numFmtId="9" fontId="8" fillId="0" borderId="0" xfId="2" applyFont="1"/>
    <xf numFmtId="164" fontId="29" fillId="0" borderId="2" xfId="2" applyNumberFormat="1" applyFont="1" applyFill="1" applyBorder="1"/>
    <xf numFmtId="164" fontId="29" fillId="0" borderId="4" xfId="2" applyNumberFormat="1" applyFont="1" applyFill="1" applyBorder="1"/>
    <xf numFmtId="164" fontId="13" fillId="0" borderId="0" xfId="2" applyNumberFormat="1" applyFont="1" applyFill="1" applyBorder="1" applyAlignment="1">
      <alignment horizontal="left"/>
    </xf>
    <xf numFmtId="0" fontId="8" fillId="0" borderId="8" xfId="0" applyFont="1" applyBorder="1" applyAlignment="1">
      <alignment horizontal="center"/>
    </xf>
    <xf numFmtId="0" fontId="8" fillId="0" borderId="0" xfId="0" applyFont="1" applyAlignment="1">
      <alignment horizontal="center" vertical="top"/>
    </xf>
    <xf numFmtId="165" fontId="29" fillId="0" borderId="0" xfId="0" applyNumberFormat="1" applyFont="1"/>
    <xf numFmtId="0" fontId="29" fillId="0" borderId="0" xfId="0" applyFont="1"/>
    <xf numFmtId="10" fontId="37" fillId="0" borderId="0" xfId="0" applyNumberFormat="1" applyFont="1" applyAlignment="1">
      <alignment vertical="center" wrapText="1"/>
    </xf>
    <xf numFmtId="0" fontId="37" fillId="0" borderId="0" xfId="0" applyFont="1" applyAlignment="1">
      <alignment vertical="center" wrapText="1"/>
    </xf>
    <xf numFmtId="8" fontId="38" fillId="0" borderId="0" xfId="0" applyNumberFormat="1" applyFont="1" applyAlignment="1">
      <alignment vertical="center" wrapText="1"/>
    </xf>
    <xf numFmtId="6" fontId="37" fillId="0" borderId="0" xfId="0" applyNumberFormat="1" applyFont="1" applyAlignment="1">
      <alignment vertical="center" wrapText="1"/>
    </xf>
    <xf numFmtId="6" fontId="38" fillId="0" borderId="0" xfId="0" applyNumberFormat="1" applyFont="1" applyAlignment="1">
      <alignment vertical="center" wrapText="1"/>
    </xf>
    <xf numFmtId="0" fontId="0" fillId="4" borderId="4" xfId="0" applyFill="1" applyBorder="1"/>
    <xf numFmtId="0" fontId="0" fillId="6" borderId="4" xfId="0" applyFill="1" applyBorder="1"/>
    <xf numFmtId="10" fontId="37" fillId="4" borderId="30" xfId="0" applyNumberFormat="1" applyFont="1" applyFill="1" applyBorder="1" applyAlignment="1">
      <alignment vertical="center" wrapText="1"/>
    </xf>
    <xf numFmtId="10" fontId="37" fillId="6" borderId="30" xfId="0" applyNumberFormat="1" applyFont="1" applyFill="1" applyBorder="1" applyAlignment="1">
      <alignment vertical="center" wrapText="1"/>
    </xf>
    <xf numFmtId="9" fontId="8" fillId="0" borderId="0" xfId="0" applyNumberFormat="1" applyFont="1" applyAlignment="1">
      <alignment horizontal="center"/>
    </xf>
    <xf numFmtId="165" fontId="29" fillId="0" borderId="10" xfId="1" applyNumberFormat="1" applyFont="1" applyFill="1" applyBorder="1"/>
    <xf numFmtId="9" fontId="8" fillId="0" borderId="9" xfId="0" applyNumberFormat="1" applyFont="1" applyBorder="1" applyAlignment="1">
      <alignment horizontal="center"/>
    </xf>
    <xf numFmtId="0" fontId="8" fillId="0" borderId="0" xfId="0" applyFont="1" applyAlignment="1">
      <alignment horizontal="center" vertical="top" wrapText="1"/>
    </xf>
    <xf numFmtId="164" fontId="29" fillId="0" borderId="13" xfId="2" applyNumberFormat="1" applyFont="1" applyFill="1" applyBorder="1"/>
    <xf numFmtId="164" fontId="29" fillId="0" borderId="14" xfId="2" applyNumberFormat="1" applyFont="1" applyFill="1" applyBorder="1"/>
    <xf numFmtId="170" fontId="29" fillId="0" borderId="32" xfId="0" applyNumberFormat="1" applyFont="1" applyBorder="1"/>
    <xf numFmtId="170" fontId="29" fillId="0" borderId="33" xfId="0" applyNumberFormat="1" applyFont="1" applyBorder="1"/>
    <xf numFmtId="164" fontId="29" fillId="0" borderId="16" xfId="2" applyNumberFormat="1" applyFont="1" applyFill="1" applyBorder="1"/>
    <xf numFmtId="164" fontId="29" fillId="0" borderId="18" xfId="2" applyNumberFormat="1" applyFont="1" applyFill="1" applyBorder="1"/>
    <xf numFmtId="164" fontId="29" fillId="0" borderId="19" xfId="2" applyNumberFormat="1" applyFont="1" applyFill="1" applyBorder="1"/>
    <xf numFmtId="0" fontId="13" fillId="0" borderId="12" xfId="0" applyFont="1" applyBorder="1"/>
    <xf numFmtId="0" fontId="0" fillId="0" borderId="13" xfId="0" applyBorder="1"/>
    <xf numFmtId="0" fontId="13" fillId="0" borderId="13" xfId="0" applyFont="1" applyBorder="1" applyAlignment="1">
      <alignment wrapText="1"/>
    </xf>
    <xf numFmtId="0" fontId="13" fillId="0" borderId="14" xfId="0" applyFont="1" applyBorder="1" applyAlignment="1">
      <alignment wrapText="1"/>
    </xf>
    <xf numFmtId="0" fontId="0" fillId="0" borderId="15" xfId="0" applyBorder="1"/>
    <xf numFmtId="9" fontId="0" fillId="6" borderId="5" xfId="2" applyFont="1" applyFill="1" applyBorder="1"/>
    <xf numFmtId="9" fontId="0" fillId="6" borderId="7" xfId="2" applyFont="1" applyFill="1" applyBorder="1"/>
    <xf numFmtId="164" fontId="29" fillId="0" borderId="15" xfId="2" applyNumberFormat="1" applyFont="1" applyFill="1" applyBorder="1" applyAlignment="1">
      <alignment horizontal="right"/>
    </xf>
    <xf numFmtId="164" fontId="29" fillId="6" borderId="30" xfId="2" applyNumberFormat="1" applyFont="1" applyFill="1" applyBorder="1"/>
    <xf numFmtId="9" fontId="13" fillId="0" borderId="0" xfId="0" applyNumberFormat="1" applyFont="1"/>
    <xf numFmtId="9" fontId="13" fillId="6" borderId="10" xfId="0" applyNumberFormat="1" applyFont="1" applyFill="1" applyBorder="1"/>
    <xf numFmtId="9" fontId="13" fillId="6" borderId="11" xfId="0" applyNumberFormat="1" applyFont="1" applyFill="1" applyBorder="1"/>
    <xf numFmtId="164" fontId="29" fillId="0" borderId="17" xfId="2" applyNumberFormat="1" applyFont="1" applyFill="1" applyBorder="1" applyAlignment="1">
      <alignment horizontal="right"/>
    </xf>
    <xf numFmtId="164" fontId="8" fillId="0" borderId="7" xfId="2" applyNumberFormat="1" applyFont="1" applyBorder="1"/>
    <xf numFmtId="164" fontId="8" fillId="0" borderId="11" xfId="2" applyNumberFormat="1" applyFont="1" applyBorder="1"/>
    <xf numFmtId="171" fontId="0" fillId="0" borderId="0" xfId="0" applyNumberFormat="1"/>
    <xf numFmtId="172" fontId="0" fillId="0" borderId="7" xfId="44" applyNumberFormat="1" applyFont="1" applyFill="1" applyBorder="1"/>
    <xf numFmtId="172" fontId="0" fillId="0" borderId="9" xfId="44" applyNumberFormat="1" applyFont="1" applyFill="1" applyBorder="1"/>
    <xf numFmtId="0" fontId="10" fillId="0" borderId="8" xfId="0" applyFont="1" applyBorder="1"/>
    <xf numFmtId="0" fontId="10" fillId="0" borderId="10" xfId="0" applyFont="1" applyBorder="1"/>
    <xf numFmtId="164" fontId="13" fillId="0" borderId="11" xfId="2" applyNumberFormat="1" applyFont="1" applyFill="1" applyBorder="1"/>
    <xf numFmtId="0" fontId="13" fillId="0" borderId="5" xfId="0" applyFont="1" applyBorder="1"/>
    <xf numFmtId="0" fontId="13" fillId="0" borderId="7" xfId="0" applyFont="1" applyBorder="1"/>
    <xf numFmtId="0" fontId="13" fillId="0" borderId="11" xfId="0" applyFont="1" applyBorder="1"/>
    <xf numFmtId="0" fontId="8" fillId="0" borderId="12" xfId="0" applyFont="1" applyBorder="1"/>
    <xf numFmtId="0" fontId="8" fillId="0" borderId="13" xfId="0" applyFont="1" applyBorder="1"/>
    <xf numFmtId="0" fontId="8" fillId="0" borderId="14" xfId="0" applyFont="1" applyBorder="1"/>
    <xf numFmtId="0" fontId="8" fillId="0" borderId="15" xfId="0" applyFont="1" applyBorder="1" applyAlignment="1">
      <alignment horizontal="center"/>
    </xf>
    <xf numFmtId="0" fontId="8" fillId="0" borderId="16" xfId="0" applyFont="1" applyBorder="1" applyAlignment="1">
      <alignment horizontal="center"/>
    </xf>
    <xf numFmtId="0" fontId="8" fillId="0" borderId="15" xfId="0" applyFont="1" applyBorder="1" applyAlignment="1">
      <alignment horizontal="center" vertical="top"/>
    </xf>
    <xf numFmtId="0" fontId="8" fillId="0" borderId="16" xfId="0" applyFont="1" applyBorder="1" applyAlignment="1">
      <alignment horizontal="center" vertical="top" wrapText="1"/>
    </xf>
    <xf numFmtId="0" fontId="8" fillId="0" borderId="15" xfId="0" applyFont="1" applyBorder="1"/>
    <xf numFmtId="0" fontId="8" fillId="0" borderId="16" xfId="0" applyFont="1" applyBorder="1"/>
    <xf numFmtId="165" fontId="29" fillId="0" borderId="15" xfId="1" applyNumberFormat="1" applyFont="1" applyFill="1" applyBorder="1"/>
    <xf numFmtId="0" fontId="29" fillId="0" borderId="15" xfId="0" applyFont="1" applyBorder="1"/>
    <xf numFmtId="165" fontId="29" fillId="0" borderId="34" xfId="1" applyNumberFormat="1" applyFont="1" applyFill="1" applyBorder="1"/>
    <xf numFmtId="164" fontId="29" fillId="0" borderId="35" xfId="2" applyNumberFormat="1" applyFont="1" applyFill="1" applyBorder="1"/>
    <xf numFmtId="0" fontId="13" fillId="0" borderId="17" xfId="0" applyFont="1" applyBorder="1"/>
    <xf numFmtId="0" fontId="29" fillId="0" borderId="36" xfId="0" applyFont="1" applyBorder="1"/>
    <xf numFmtId="0" fontId="29" fillId="0" borderId="3" xfId="0" applyFont="1" applyBorder="1"/>
    <xf numFmtId="9" fontId="8" fillId="6" borderId="10" xfId="0" applyNumberFormat="1" applyFont="1" applyFill="1" applyBorder="1"/>
    <xf numFmtId="164" fontId="8" fillId="0" borderId="5" xfId="2" applyNumberFormat="1" applyFont="1" applyFill="1" applyBorder="1"/>
    <xf numFmtId="164" fontId="8" fillId="0" borderId="7" xfId="2" applyNumberFormat="1" applyFont="1" applyFill="1" applyBorder="1"/>
    <xf numFmtId="164" fontId="8" fillId="0" borderId="11" xfId="2" applyNumberFormat="1" applyFont="1" applyFill="1" applyBorder="1"/>
    <xf numFmtId="173" fontId="36" fillId="2" borderId="30" xfId="44" applyNumberFormat="1" applyFont="1" applyFill="1" applyBorder="1" applyAlignment="1">
      <alignment vertical="center" wrapText="1"/>
    </xf>
    <xf numFmtId="0" fontId="0" fillId="3" borderId="38" xfId="0" applyFill="1" applyBorder="1"/>
    <xf numFmtId="0" fontId="8" fillId="0" borderId="38" xfId="0" applyFont="1" applyBorder="1"/>
    <xf numFmtId="0" fontId="8" fillId="0" borderId="39" xfId="0" applyFont="1" applyBorder="1"/>
    <xf numFmtId="0" fontId="0" fillId="0" borderId="40" xfId="0" applyBorder="1"/>
    <xf numFmtId="0" fontId="0" fillId="0" borderId="41" xfId="0" applyBorder="1"/>
    <xf numFmtId="0" fontId="8" fillId="0" borderId="41" xfId="0" applyFont="1" applyBorder="1"/>
    <xf numFmtId="0" fontId="8" fillId="0" borderId="42" xfId="0" applyFont="1" applyBorder="1"/>
    <xf numFmtId="0" fontId="0" fillId="0" borderId="41" xfId="0" applyBorder="1" applyAlignment="1">
      <alignment wrapText="1"/>
    </xf>
    <xf numFmtId="0" fontId="0" fillId="0" borderId="42" xfId="0" applyBorder="1" applyAlignment="1">
      <alignment wrapText="1"/>
    </xf>
    <xf numFmtId="0" fontId="8" fillId="0" borderId="41" xfId="0" applyFont="1" applyBorder="1" applyAlignment="1">
      <alignment wrapText="1"/>
    </xf>
    <xf numFmtId="0" fontId="8" fillId="0" borderId="42" xfId="0" applyFont="1" applyBorder="1" applyAlignment="1">
      <alignment wrapText="1"/>
    </xf>
    <xf numFmtId="0" fontId="0" fillId="0" borderId="43" xfId="0" applyBorder="1"/>
    <xf numFmtId="0" fontId="0" fillId="0" borderId="44" xfId="0" applyBorder="1"/>
    <xf numFmtId="0" fontId="8" fillId="0" borderId="44" xfId="0" applyFont="1" applyBorder="1"/>
    <xf numFmtId="0" fontId="8" fillId="0" borderId="45" xfId="0" applyFont="1" applyBorder="1"/>
    <xf numFmtId="0" fontId="0" fillId="47" borderId="0" xfId="0" applyFill="1" applyAlignment="1">
      <alignment wrapText="1"/>
    </xf>
    <xf numFmtId="0" fontId="40" fillId="7" borderId="0" xfId="0" applyFont="1" applyFill="1" applyAlignment="1">
      <alignment wrapText="1"/>
    </xf>
    <xf numFmtId="0" fontId="40" fillId="7" borderId="0" xfId="0" applyFont="1" applyFill="1"/>
    <xf numFmtId="0" fontId="0" fillId="0" borderId="9" xfId="0" applyBorder="1" applyAlignment="1">
      <alignment wrapText="1"/>
    </xf>
    <xf numFmtId="165" fontId="29" fillId="9" borderId="0" xfId="0" applyNumberFormat="1" applyFont="1" applyFill="1"/>
    <xf numFmtId="165" fontId="29" fillId="3" borderId="0" xfId="0" applyNumberFormat="1" applyFont="1" applyFill="1"/>
    <xf numFmtId="165" fontId="29" fillId="7" borderId="16" xfId="0" applyNumberFormat="1" applyFont="1" applyFill="1" applyBorder="1"/>
    <xf numFmtId="0" fontId="0" fillId="0" borderId="1" xfId="0" applyBorder="1" applyAlignment="1">
      <alignment wrapText="1"/>
    </xf>
    <xf numFmtId="0" fontId="0" fillId="0" borderId="11" xfId="0" applyBorder="1" applyAlignment="1">
      <alignment wrapText="1"/>
    </xf>
    <xf numFmtId="165" fontId="8" fillId="0" borderId="15" xfId="1" applyNumberFormat="1" applyFont="1" applyFill="1" applyBorder="1"/>
    <xf numFmtId="0" fontId="28" fillId="0" borderId="15" xfId="0" applyFont="1" applyBorder="1"/>
    <xf numFmtId="43" fontId="8" fillId="9" borderId="0" xfId="0" applyNumberFormat="1" applyFont="1" applyFill="1"/>
    <xf numFmtId="43" fontId="8" fillId="3" borderId="0" xfId="0" applyNumberFormat="1" applyFont="1" applyFill="1"/>
    <xf numFmtId="43" fontId="8" fillId="7" borderId="16" xfId="0" applyNumberFormat="1" applyFont="1" applyFill="1" applyBorder="1"/>
    <xf numFmtId="43" fontId="8" fillId="0" borderId="3" xfId="0" applyNumberFormat="1" applyFont="1" applyBorder="1"/>
    <xf numFmtId="43" fontId="8" fillId="0" borderId="35" xfId="0" applyNumberFormat="1" applyFont="1" applyBorder="1"/>
    <xf numFmtId="43" fontId="8" fillId="0" borderId="15" xfId="1" applyFont="1" applyFill="1" applyBorder="1"/>
    <xf numFmtId="43" fontId="8" fillId="0" borderId="0" xfId="1" applyFont="1" applyFill="1" applyBorder="1"/>
    <xf numFmtId="43" fontId="28" fillId="0" borderId="15" xfId="0" applyNumberFormat="1" applyFont="1" applyBorder="1"/>
    <xf numFmtId="43" fontId="28" fillId="0" borderId="0" xfId="0" applyNumberFormat="1" applyFont="1"/>
    <xf numFmtId="169" fontId="0" fillId="7" borderId="0" xfId="0" applyNumberFormat="1" applyFill="1"/>
    <xf numFmtId="44" fontId="5" fillId="0" borderId="0" xfId="44" applyFont="1" applyAlignment="1">
      <alignment horizontal="right"/>
    </xf>
    <xf numFmtId="10" fontId="5" fillId="4" borderId="0" xfId="2" applyNumberFormat="1" applyFont="1" applyFill="1"/>
    <xf numFmtId="10" fontId="5" fillId="6" borderId="0" xfId="2" applyNumberFormat="1" applyFont="1" applyFill="1"/>
    <xf numFmtId="10" fontId="5" fillId="4" borderId="31" xfId="2" applyNumberFormat="1" applyFont="1" applyFill="1" applyBorder="1"/>
    <xf numFmtId="10" fontId="5" fillId="6" borderId="31" xfId="2" applyNumberFormat="1" applyFont="1" applyFill="1" applyBorder="1"/>
    <xf numFmtId="10" fontId="5" fillId="4" borderId="20" xfId="2" applyNumberFormat="1" applyFont="1" applyFill="1" applyBorder="1"/>
    <xf numFmtId="10" fontId="5" fillId="6" borderId="20" xfId="2" applyNumberFormat="1" applyFont="1" applyFill="1" applyBorder="1"/>
    <xf numFmtId="9" fontId="5" fillId="0" borderId="0" xfId="2" applyFont="1"/>
    <xf numFmtId="44" fontId="5" fillId="0" borderId="0" xfId="44" applyFont="1"/>
    <xf numFmtId="174" fontId="0" fillId="0" borderId="0" xfId="1" applyNumberFormat="1" applyFont="1"/>
    <xf numFmtId="175" fontId="0" fillId="0" borderId="0" xfId="0" applyNumberFormat="1"/>
    <xf numFmtId="0" fontId="43" fillId="0" borderId="0" xfId="0" applyFont="1"/>
    <xf numFmtId="0" fontId="43" fillId="0" borderId="0" xfId="0" applyFont="1" applyAlignment="1">
      <alignment horizontal="right"/>
    </xf>
    <xf numFmtId="0" fontId="43" fillId="3" borderId="5" xfId="0" applyFont="1" applyFill="1" applyBorder="1"/>
    <xf numFmtId="0" fontId="43" fillId="3" borderId="6" xfId="0" applyFont="1" applyFill="1" applyBorder="1"/>
    <xf numFmtId="0" fontId="44" fillId="7" borderId="5" xfId="0" applyFont="1" applyFill="1" applyBorder="1"/>
    <xf numFmtId="0" fontId="43" fillId="3" borderId="37" xfId="0" applyFont="1" applyFill="1" applyBorder="1"/>
    <xf numFmtId="0" fontId="39" fillId="0" borderId="0" xfId="45" applyFont="1"/>
    <xf numFmtId="0" fontId="45" fillId="48" borderId="46" xfId="0" applyFont="1" applyFill="1" applyBorder="1" applyAlignment="1">
      <alignment vertical="top" wrapText="1"/>
    </xf>
    <xf numFmtId="6" fontId="45" fillId="48" borderId="46" xfId="0" applyNumberFormat="1" applyFont="1" applyFill="1" applyBorder="1" applyAlignment="1">
      <alignment vertical="top" wrapText="1"/>
    </xf>
    <xf numFmtId="6" fontId="45" fillId="48" borderId="30" xfId="0" applyNumberFormat="1" applyFont="1" applyFill="1" applyBorder="1" applyAlignment="1">
      <alignment vertical="top" wrapText="1"/>
    </xf>
    <xf numFmtId="0" fontId="46" fillId="0" borderId="0" xfId="0" applyFont="1"/>
    <xf numFmtId="0" fontId="46" fillId="42" borderId="0" xfId="0" applyFont="1" applyFill="1"/>
    <xf numFmtId="0" fontId="47" fillId="0" borderId="0" xfId="0" applyFont="1"/>
    <xf numFmtId="0" fontId="48" fillId="0" borderId="0" xfId="0" applyFont="1"/>
    <xf numFmtId="0" fontId="50" fillId="5" borderId="0" xfId="0" applyFont="1" applyFill="1"/>
    <xf numFmtId="0" fontId="51" fillId="0" borderId="0" xfId="0" applyFont="1"/>
    <xf numFmtId="0" fontId="55" fillId="0" borderId="0" xfId="0" applyFont="1"/>
    <xf numFmtId="0" fontId="55" fillId="0" borderId="0" xfId="0" applyFont="1" applyAlignment="1">
      <alignment vertical="top"/>
    </xf>
    <xf numFmtId="0" fontId="49" fillId="0" borderId="0" xfId="45" applyFont="1"/>
    <xf numFmtId="176" fontId="54" fillId="43" borderId="30" xfId="44" applyNumberFormat="1" applyFont="1" applyFill="1" applyBorder="1" applyAlignment="1" applyProtection="1">
      <alignment horizontal="left"/>
      <protection locked="0"/>
    </xf>
    <xf numFmtId="5" fontId="56" fillId="0" borderId="0" xfId="44" applyNumberFormat="1" applyFont="1" applyFill="1" applyBorder="1" applyAlignment="1" applyProtection="1">
      <alignment horizontal="left"/>
      <protection locked="0"/>
    </xf>
    <xf numFmtId="0" fontId="57" fillId="0" borderId="0" xfId="45" applyFont="1"/>
    <xf numFmtId="0" fontId="49" fillId="0" borderId="0" xfId="0" applyFont="1"/>
    <xf numFmtId="0" fontId="53" fillId="0" borderId="0" xfId="0" applyFont="1"/>
    <xf numFmtId="0" fontId="58" fillId="0" borderId="0" xfId="0" applyFont="1"/>
    <xf numFmtId="0" fontId="59" fillId="5" borderId="30" xfId="0" applyFont="1" applyFill="1" applyBorder="1"/>
    <xf numFmtId="0" fontId="60" fillId="0" borderId="0" xfId="0" applyFont="1"/>
    <xf numFmtId="0" fontId="60" fillId="0" borderId="30" xfId="0" applyFont="1" applyBorder="1"/>
    <xf numFmtId="166" fontId="60" fillId="0" borderId="0" xfId="0" applyNumberFormat="1" applyFont="1"/>
    <xf numFmtId="0" fontId="52" fillId="0" borderId="0" xfId="0" applyFont="1"/>
    <xf numFmtId="15" fontId="55" fillId="0" borderId="0" xfId="0" quotePrefix="1" applyNumberFormat="1" applyFont="1" applyAlignment="1">
      <alignment horizontal="left"/>
    </xf>
    <xf numFmtId="14" fontId="55" fillId="0" borderId="0" xfId="0" applyNumberFormat="1" applyFont="1" applyAlignment="1">
      <alignment horizontal="left"/>
    </xf>
    <xf numFmtId="15" fontId="55" fillId="0" borderId="0" xfId="0" applyNumberFormat="1" applyFont="1" applyAlignment="1">
      <alignment horizontal="left"/>
    </xf>
    <xf numFmtId="6" fontId="45" fillId="0" borderId="0" xfId="0" applyNumberFormat="1" applyFont="1" applyAlignment="1">
      <alignment vertical="top" wrapText="1"/>
    </xf>
    <xf numFmtId="174" fontId="45" fillId="0" borderId="0" xfId="1" applyNumberFormat="1" applyFont="1" applyFill="1" applyBorder="1" applyAlignment="1">
      <alignment vertical="top" wrapText="1"/>
    </xf>
    <xf numFmtId="43" fontId="59" fillId="41" borderId="30" xfId="1" applyFont="1" applyFill="1" applyBorder="1" applyAlignment="1" applyProtection="1">
      <alignment horizontal="center"/>
    </xf>
    <xf numFmtId="43" fontId="59" fillId="46" borderId="30" xfId="1" applyFont="1" applyFill="1" applyBorder="1" applyAlignment="1" applyProtection="1">
      <alignment horizontal="center"/>
    </xf>
    <xf numFmtId="43" fontId="59" fillId="44" borderId="30" xfId="1" applyFont="1" applyFill="1" applyBorder="1" applyAlignment="1" applyProtection="1">
      <alignment horizontal="center"/>
    </xf>
    <xf numFmtId="43" fontId="59" fillId="44" borderId="30" xfId="1" applyFont="1" applyFill="1" applyBorder="1" applyAlignment="1" applyProtection="1">
      <alignment horizontal="center" wrapText="1"/>
    </xf>
    <xf numFmtId="165" fontId="29" fillId="0" borderId="30" xfId="0" applyNumberFormat="1" applyFont="1" applyBorder="1"/>
    <xf numFmtId="165" fontId="29" fillId="9" borderId="30" xfId="0" applyNumberFormat="1" applyFont="1" applyFill="1" applyBorder="1"/>
    <xf numFmtId="165" fontId="29" fillId="3" borderId="30" xfId="0" applyNumberFormat="1" applyFont="1" applyFill="1" applyBorder="1"/>
    <xf numFmtId="165" fontId="29" fillId="7" borderId="30" xfId="0" applyNumberFormat="1" applyFont="1" applyFill="1" applyBorder="1"/>
    <xf numFmtId="0" fontId="39" fillId="6" borderId="0" xfId="45" applyFont="1" applyFill="1"/>
    <xf numFmtId="0" fontId="41" fillId="6" borderId="0" xfId="45" applyFont="1" applyFill="1"/>
    <xf numFmtId="0" fontId="0" fillId="4" borderId="30" xfId="0" applyFill="1" applyBorder="1"/>
    <xf numFmtId="169" fontId="0" fillId="4" borderId="30" xfId="0" applyNumberFormat="1" applyFill="1" applyBorder="1"/>
    <xf numFmtId="0" fontId="0" fillId="6" borderId="30" xfId="0" applyFill="1" applyBorder="1"/>
    <xf numFmtId="169" fontId="0" fillId="6" borderId="30" xfId="0" applyNumberFormat="1" applyFill="1" applyBorder="1"/>
    <xf numFmtId="10" fontId="65" fillId="6" borderId="30" xfId="46" applyNumberFormat="1" applyFont="1" applyFill="1" applyBorder="1" applyAlignment="1">
      <alignment horizontal="right" vertical="top"/>
    </xf>
    <xf numFmtId="0" fontId="65" fillId="7" borderId="30" xfId="46" applyFont="1" applyFill="1" applyBorder="1" applyAlignment="1">
      <alignment horizontal="right" vertical="top"/>
    </xf>
    <xf numFmtId="6" fontId="65" fillId="7" borderId="30" xfId="46" applyNumberFormat="1" applyFont="1" applyFill="1" applyBorder="1" applyAlignment="1">
      <alignment horizontal="right" vertical="top"/>
    </xf>
    <xf numFmtId="10" fontId="65" fillId="7" borderId="30" xfId="46" applyNumberFormat="1" applyFont="1" applyFill="1" applyBorder="1" applyAlignment="1">
      <alignment horizontal="right" vertical="top"/>
    </xf>
    <xf numFmtId="0" fontId="51" fillId="0" borderId="0" xfId="0" applyFont="1" applyAlignment="1">
      <alignment horizontal="right"/>
    </xf>
    <xf numFmtId="49" fontId="49" fillId="0" borderId="0" xfId="45" applyNumberFormat="1" applyFont="1"/>
    <xf numFmtId="43" fontId="59" fillId="45" borderId="30" xfId="1" applyFont="1" applyFill="1" applyBorder="1" applyAlignment="1" applyProtection="1">
      <alignment horizontal="center" wrapText="1"/>
    </xf>
    <xf numFmtId="10" fontId="67" fillId="0" borderId="0" xfId="2" applyNumberFormat="1" applyFont="1"/>
    <xf numFmtId="49" fontId="49" fillId="2" borderId="0" xfId="45" applyNumberFormat="1" applyFont="1" applyFill="1"/>
    <xf numFmtId="0" fontId="0" fillId="2" borderId="0" xfId="0" applyFill="1"/>
    <xf numFmtId="49" fontId="53" fillId="2" borderId="0" xfId="45" applyNumberFormat="1" applyFont="1" applyFill="1"/>
    <xf numFmtId="167" fontId="60" fillId="0" borderId="30" xfId="44" applyNumberFormat="1" applyFont="1" applyBorder="1" applyProtection="1"/>
    <xf numFmtId="0" fontId="1" fillId="0" borderId="0" xfId="0" applyFont="1" applyAlignment="1">
      <alignment vertical="top"/>
    </xf>
    <xf numFmtId="176" fontId="54" fillId="43" borderId="30" xfId="44" applyNumberFormat="1" applyFont="1" applyFill="1" applyBorder="1" applyAlignment="1" applyProtection="1">
      <alignment horizontal="right"/>
    </xf>
    <xf numFmtId="43" fontId="68" fillId="49" borderId="0" xfId="1" applyFont="1" applyFill="1" applyBorder="1" applyAlignment="1" applyProtection="1">
      <alignment horizontal="center"/>
    </xf>
    <xf numFmtId="167" fontId="69" fillId="49" borderId="0" xfId="44" applyNumberFormat="1" applyFont="1" applyFill="1" applyBorder="1" applyProtection="1"/>
    <xf numFmtId="165" fontId="69" fillId="49" borderId="0" xfId="1" applyNumberFormat="1" applyFont="1" applyFill="1" applyBorder="1" applyAlignment="1" applyProtection="1">
      <alignment horizontal="left"/>
    </xf>
    <xf numFmtId="43" fontId="69" fillId="49" borderId="0" xfId="1" applyFont="1" applyFill="1" applyBorder="1" applyProtection="1"/>
    <xf numFmtId="0" fontId="52" fillId="0" borderId="0" xfId="0" applyFont="1" applyAlignment="1">
      <alignment horizontal="left" wrapText="1"/>
    </xf>
    <xf numFmtId="0" fontId="50" fillId="5" borderId="0" xfId="0" applyFont="1" applyFill="1" applyAlignment="1">
      <alignment vertical="top" wrapText="1"/>
    </xf>
    <xf numFmtId="0" fontId="50" fillId="5" borderId="0" xfId="0" applyFont="1" applyFill="1" applyAlignment="1">
      <alignment vertical="top"/>
    </xf>
    <xf numFmtId="0" fontId="50" fillId="5" borderId="0" xfId="0" applyFont="1" applyFill="1" applyAlignment="1">
      <alignment horizontal="center" vertical="center"/>
    </xf>
    <xf numFmtId="49" fontId="32" fillId="0" borderId="0" xfId="1" applyNumberFormat="1" applyFont="1" applyFill="1" applyAlignment="1">
      <alignment horizontal="center"/>
    </xf>
    <xf numFmtId="49" fontId="32" fillId="0" borderId="0" xfId="0" applyNumberFormat="1" applyFont="1" applyAlignment="1">
      <alignment horizontal="center"/>
    </xf>
    <xf numFmtId="49" fontId="32" fillId="0" borderId="0" xfId="2" applyNumberFormat="1" applyFont="1" applyAlignment="1">
      <alignment horizontal="center"/>
    </xf>
    <xf numFmtId="169" fontId="66" fillId="0" borderId="0" xfId="0" applyNumberFormat="1" applyFont="1" applyAlignment="1">
      <alignment horizontal="center"/>
    </xf>
    <xf numFmtId="49" fontId="32" fillId="0" borderId="0" xfId="1" applyNumberFormat="1" applyFont="1" applyAlignment="1">
      <alignment horizontal="center"/>
    </xf>
    <xf numFmtId="0" fontId="2" fillId="0" borderId="0" xfId="0" applyFont="1"/>
    <xf numFmtId="44" fontId="2" fillId="0" borderId="0" xfId="0" applyNumberFormat="1" applyFont="1"/>
    <xf numFmtId="0" fontId="2" fillId="0" borderId="30" xfId="0" applyFont="1" applyBorder="1"/>
    <xf numFmtId="43" fontId="2" fillId="0" borderId="0" xfId="1" applyFont="1" applyProtection="1"/>
    <xf numFmtId="0" fontId="1" fillId="0" borderId="0" xfId="0" applyFont="1"/>
    <xf numFmtId="167" fontId="2" fillId="0" borderId="30" xfId="44" applyNumberFormat="1" applyFont="1" applyBorder="1" applyProtection="1"/>
    <xf numFmtId="165" fontId="2" fillId="0" borderId="30" xfId="1" applyNumberFormat="1" applyFont="1" applyBorder="1" applyAlignment="1" applyProtection="1">
      <alignment horizontal="left"/>
    </xf>
    <xf numFmtId="170" fontId="2" fillId="0" borderId="0" xfId="0" applyNumberFormat="1" applyFont="1"/>
    <xf numFmtId="43" fontId="2" fillId="0" borderId="30" xfId="1" applyFont="1" applyBorder="1" applyProtection="1"/>
    <xf numFmtId="43" fontId="2" fillId="0" borderId="30" xfId="0" applyNumberFormat="1" applyFont="1" applyBorder="1"/>
    <xf numFmtId="43" fontId="2" fillId="0" borderId="0" xfId="0" applyNumberFormat="1" applyFont="1"/>
  </cellXfs>
  <cellStyles count="93">
    <cellStyle name="20% - Accent1" xfId="21" builtinId="30" customBuiltin="1"/>
    <cellStyle name="20% - Accent1 2" xfId="67" xr:uid="{00000000-0005-0000-0000-000001000000}"/>
    <cellStyle name="20% - Accent2" xfId="25" builtinId="34" customBuiltin="1"/>
    <cellStyle name="20% - Accent2 2" xfId="71" xr:uid="{00000000-0005-0000-0000-000003000000}"/>
    <cellStyle name="20% - Accent3" xfId="29" builtinId="38" customBuiltin="1"/>
    <cellStyle name="20% - Accent3 2" xfId="75" xr:uid="{00000000-0005-0000-0000-000005000000}"/>
    <cellStyle name="20% - Accent4" xfId="33" builtinId="42" customBuiltin="1"/>
    <cellStyle name="20% - Accent4 2" xfId="79" xr:uid="{00000000-0005-0000-0000-000007000000}"/>
    <cellStyle name="20% - Accent5" xfId="37" builtinId="46" customBuiltin="1"/>
    <cellStyle name="20% - Accent5 2" xfId="83" xr:uid="{00000000-0005-0000-0000-000009000000}"/>
    <cellStyle name="20% - Accent6" xfId="41" builtinId="50" customBuiltin="1"/>
    <cellStyle name="20% - Accent6 2" xfId="87" xr:uid="{00000000-0005-0000-0000-00000B000000}"/>
    <cellStyle name="40% - Accent1" xfId="22" builtinId="31" customBuiltin="1"/>
    <cellStyle name="40% - Accent1 2" xfId="68" xr:uid="{00000000-0005-0000-0000-00000D000000}"/>
    <cellStyle name="40% - Accent2" xfId="26" builtinId="35" customBuiltin="1"/>
    <cellStyle name="40% - Accent2 2" xfId="72" xr:uid="{00000000-0005-0000-0000-00000F000000}"/>
    <cellStyle name="40% - Accent3" xfId="30" builtinId="39" customBuiltin="1"/>
    <cellStyle name="40% - Accent3 2" xfId="76" xr:uid="{00000000-0005-0000-0000-000011000000}"/>
    <cellStyle name="40% - Accent4" xfId="34" builtinId="43" customBuiltin="1"/>
    <cellStyle name="40% - Accent4 2" xfId="80" xr:uid="{00000000-0005-0000-0000-000013000000}"/>
    <cellStyle name="40% - Accent5" xfId="38" builtinId="47" customBuiltin="1"/>
    <cellStyle name="40% - Accent5 2" xfId="84" xr:uid="{00000000-0005-0000-0000-000015000000}"/>
    <cellStyle name="40% - Accent6" xfId="42" builtinId="51" customBuiltin="1"/>
    <cellStyle name="40% - Accent6 2" xfId="88" xr:uid="{00000000-0005-0000-0000-000017000000}"/>
    <cellStyle name="60% - Accent1" xfId="23" builtinId="32" customBuiltin="1"/>
    <cellStyle name="60% - Accent1 2" xfId="69" xr:uid="{00000000-0005-0000-0000-000019000000}"/>
    <cellStyle name="60% - Accent2" xfId="27" builtinId="36" customBuiltin="1"/>
    <cellStyle name="60% - Accent2 2" xfId="73" xr:uid="{00000000-0005-0000-0000-00001B000000}"/>
    <cellStyle name="60% - Accent3" xfId="31" builtinId="40" customBuiltin="1"/>
    <cellStyle name="60% - Accent3 2" xfId="77" xr:uid="{00000000-0005-0000-0000-00001D000000}"/>
    <cellStyle name="60% - Accent4" xfId="35" builtinId="44" customBuiltin="1"/>
    <cellStyle name="60% - Accent4 2" xfId="81" xr:uid="{00000000-0005-0000-0000-00001F000000}"/>
    <cellStyle name="60% - Accent5" xfId="39" builtinId="48" customBuiltin="1"/>
    <cellStyle name="60% - Accent5 2" xfId="85" xr:uid="{00000000-0005-0000-0000-000021000000}"/>
    <cellStyle name="60% - Accent6" xfId="43" builtinId="52" customBuiltin="1"/>
    <cellStyle name="60% - Accent6 2" xfId="89" xr:uid="{00000000-0005-0000-0000-000023000000}"/>
    <cellStyle name="Accent1" xfId="20" builtinId="29" customBuiltin="1"/>
    <cellStyle name="Accent1 2" xfId="66" xr:uid="{00000000-0005-0000-0000-000025000000}"/>
    <cellStyle name="Accent2" xfId="24" builtinId="33" customBuiltin="1"/>
    <cellStyle name="Accent2 2" xfId="70" xr:uid="{00000000-0005-0000-0000-000027000000}"/>
    <cellStyle name="Accent3" xfId="28" builtinId="37" customBuiltin="1"/>
    <cellStyle name="Accent3 2" xfId="74" xr:uid="{00000000-0005-0000-0000-000029000000}"/>
    <cellStyle name="Accent4" xfId="32" builtinId="41" customBuiltin="1"/>
    <cellStyle name="Accent4 2" xfId="78" xr:uid="{00000000-0005-0000-0000-00002B000000}"/>
    <cellStyle name="Accent5" xfId="36" builtinId="45" customBuiltin="1"/>
    <cellStyle name="Accent5 2" xfId="82" xr:uid="{00000000-0005-0000-0000-00002D000000}"/>
    <cellStyle name="Accent6" xfId="40" builtinId="49" customBuiltin="1"/>
    <cellStyle name="Accent6 2" xfId="86" xr:uid="{00000000-0005-0000-0000-00002F000000}"/>
    <cellStyle name="Berekening" xfId="13" builtinId="22" customBuiltin="1"/>
    <cellStyle name="Berekening 2" xfId="59" xr:uid="{00000000-0005-0000-0000-000031000000}"/>
    <cellStyle name="Controlecel" xfId="15" builtinId="23" customBuiltin="1"/>
    <cellStyle name="Controlecel 2" xfId="61" xr:uid="{00000000-0005-0000-0000-000033000000}"/>
    <cellStyle name="Gekoppelde cel" xfId="14" builtinId="24" customBuiltin="1"/>
    <cellStyle name="Gekoppelde cel 2" xfId="60" xr:uid="{00000000-0005-0000-0000-000035000000}"/>
    <cellStyle name="Goed" xfId="8" builtinId="26" customBuiltin="1"/>
    <cellStyle name="Goed 2" xfId="54" xr:uid="{00000000-0005-0000-0000-000037000000}"/>
    <cellStyle name="Invoer" xfId="11" builtinId="20" customBuiltin="1"/>
    <cellStyle name="Invoer 2" xfId="57" xr:uid="{00000000-0005-0000-0000-000039000000}"/>
    <cellStyle name="Komma" xfId="1" builtinId="3"/>
    <cellStyle name="Komma 2" xfId="48" xr:uid="{00000000-0005-0000-0000-00003B000000}"/>
    <cellStyle name="Komma 3" xfId="91" xr:uid="{00000000-0005-0000-0000-00003C000000}"/>
    <cellStyle name="Kop 1" xfId="4" builtinId="16" customBuiltin="1"/>
    <cellStyle name="Kop 1 2" xfId="50" xr:uid="{00000000-0005-0000-0000-00003E000000}"/>
    <cellStyle name="Kop 2" xfId="5" builtinId="17" customBuiltin="1"/>
    <cellStyle name="Kop 2 2" xfId="51" xr:uid="{00000000-0005-0000-0000-000040000000}"/>
    <cellStyle name="Kop 3" xfId="6" builtinId="18" customBuiltin="1"/>
    <cellStyle name="Kop 3 2" xfId="52" xr:uid="{00000000-0005-0000-0000-000042000000}"/>
    <cellStyle name="Kop 4" xfId="7" builtinId="19" customBuiltin="1"/>
    <cellStyle name="Kop 4 2" xfId="53" xr:uid="{00000000-0005-0000-0000-000044000000}"/>
    <cellStyle name="Neutraal" xfId="10" builtinId="28" customBuiltin="1"/>
    <cellStyle name="Neutraal 2" xfId="56" xr:uid="{00000000-0005-0000-0000-000046000000}"/>
    <cellStyle name="Notitie" xfId="17" builtinId="10" customBuiltin="1"/>
    <cellStyle name="Notitie 2" xfId="63" xr:uid="{00000000-0005-0000-0000-000048000000}"/>
    <cellStyle name="Ongeldig" xfId="9" builtinId="27" customBuiltin="1"/>
    <cellStyle name="Ongeldig 2" xfId="55" xr:uid="{00000000-0005-0000-0000-00004A000000}"/>
    <cellStyle name="Procent" xfId="2" builtinId="5"/>
    <cellStyle name="Procent 2" xfId="49" xr:uid="{00000000-0005-0000-0000-00004C000000}"/>
    <cellStyle name="Standaard" xfId="0" builtinId="0"/>
    <cellStyle name="Standaard 2" xfId="45" xr:uid="{00000000-0005-0000-0000-00004E000000}"/>
    <cellStyle name="Standaard 2 2" xfId="47" xr:uid="{00000000-0005-0000-0000-00004F000000}"/>
    <cellStyle name="Standaard 2 3" xfId="46" xr:uid="{00000000-0005-0000-0000-000050000000}"/>
    <cellStyle name="Titel" xfId="3" builtinId="15" customBuiltin="1"/>
    <cellStyle name="Totaal" xfId="19" builtinId="25" customBuiltin="1"/>
    <cellStyle name="Totaal 2" xfId="65" xr:uid="{00000000-0005-0000-0000-000053000000}"/>
    <cellStyle name="Uitvoer" xfId="12" builtinId="21" customBuiltin="1"/>
    <cellStyle name="Uitvoer 2" xfId="58" xr:uid="{00000000-0005-0000-0000-000055000000}"/>
    <cellStyle name="Valuta" xfId="44" builtinId="4"/>
    <cellStyle name="Valuta 2" xfId="90" xr:uid="{00000000-0005-0000-0000-000057000000}"/>
    <cellStyle name="Valuta 3" xfId="92" xr:uid="{00000000-0005-0000-0000-000058000000}"/>
    <cellStyle name="Verklarende tekst" xfId="18" builtinId="53" customBuiltin="1"/>
    <cellStyle name="Verklarende tekst 2" xfId="64" xr:uid="{00000000-0005-0000-0000-00005A000000}"/>
    <cellStyle name="Waarschuwingstekst" xfId="16" builtinId="11" customBuiltin="1"/>
    <cellStyle name="Waarschuwingstekst 2" xfId="62" xr:uid="{00000000-0005-0000-0000-00005C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78"/>
  <sheetViews>
    <sheetView showGridLines="0" showRowColHeaders="0" tabSelected="1" topLeftCell="A2" zoomScaleNormal="100" workbookViewId="0">
      <selection activeCell="C8" sqref="C8"/>
    </sheetView>
  </sheetViews>
  <sheetFormatPr defaultColWidth="0" defaultRowHeight="12.75" zeroHeight="1"/>
  <cols>
    <col min="1" max="2" width="4.7109375" style="259" customWidth="1"/>
    <col min="3" max="3" width="73" style="259" customWidth="1"/>
    <col min="4" max="4" width="3.5703125" style="259" customWidth="1"/>
    <col min="5" max="7" width="14.85546875" style="259" customWidth="1"/>
    <col min="8" max="8" width="15.7109375" style="259" customWidth="1"/>
    <col min="9" max="9" width="19.42578125" style="259" customWidth="1"/>
    <col min="10" max="10" width="4.7109375" style="259" customWidth="1"/>
    <col min="11" max="11" width="19.5703125" style="259" hidden="1" customWidth="1"/>
    <col min="12" max="13" width="9.140625" style="259" hidden="1" customWidth="1"/>
    <col min="14" max="14" width="79.85546875" style="259" hidden="1" customWidth="1"/>
    <col min="15" max="15" width="9.140625" style="259" hidden="1" customWidth="1"/>
    <col min="16" max="17" width="0" style="259" hidden="1" customWidth="1"/>
    <col min="18" max="16384" width="9.140625" style="259" hidden="1"/>
  </cols>
  <sheetData>
    <row r="2" spans="1:14">
      <c r="A2" s="323"/>
      <c r="B2" s="323"/>
      <c r="C2" s="323"/>
      <c r="D2" s="323"/>
      <c r="E2" s="323"/>
      <c r="F2" s="323"/>
      <c r="G2" s="323"/>
      <c r="H2" s="323"/>
      <c r="I2" s="323"/>
      <c r="J2" s="323"/>
      <c r="K2" s="323"/>
      <c r="L2" s="323"/>
      <c r="M2" s="323"/>
      <c r="N2" s="323"/>
    </row>
    <row r="3" spans="1:14" ht="25.5" customHeight="1">
      <c r="A3" s="257"/>
      <c r="B3" s="258" t="s">
        <v>0</v>
      </c>
      <c r="C3" s="258"/>
      <c r="D3" s="258"/>
      <c r="E3" s="258"/>
      <c r="F3" s="258"/>
      <c r="G3" s="258"/>
      <c r="H3" s="258"/>
      <c r="I3" s="258"/>
      <c r="J3" s="257"/>
      <c r="K3" s="323"/>
      <c r="L3" s="323"/>
      <c r="M3" s="323"/>
      <c r="N3" s="323"/>
    </row>
    <row r="4" spans="1:14" ht="15" customHeight="1">
      <c r="A4" s="323"/>
      <c r="B4" s="323"/>
      <c r="C4" s="260"/>
      <c r="D4" s="260"/>
      <c r="E4" s="323"/>
      <c r="F4" s="323"/>
      <c r="G4" s="323"/>
      <c r="H4" s="323"/>
      <c r="I4" s="323"/>
      <c r="J4" s="323"/>
      <c r="K4" s="323"/>
      <c r="L4" s="323"/>
      <c r="M4" s="323"/>
      <c r="N4" s="323"/>
    </row>
    <row r="5" spans="1:14">
      <c r="A5" s="323"/>
      <c r="B5" s="323"/>
      <c r="C5" s="323"/>
      <c r="D5" s="323"/>
      <c r="E5" s="323"/>
      <c r="F5" s="323"/>
      <c r="G5" s="323"/>
      <c r="H5" s="323"/>
      <c r="I5" s="323"/>
      <c r="J5" s="323"/>
      <c r="K5" s="323"/>
      <c r="L5" s="323"/>
      <c r="M5" s="323"/>
      <c r="N5" s="323"/>
    </row>
    <row r="6" spans="1:14" ht="15">
      <c r="A6" s="323"/>
      <c r="B6" s="261" t="s">
        <v>1</v>
      </c>
      <c r="C6" s="261" t="s">
        <v>2</v>
      </c>
      <c r="D6" s="262"/>
      <c r="E6" s="323"/>
      <c r="F6" s="323"/>
      <c r="G6" s="323"/>
      <c r="H6" s="323"/>
      <c r="I6" s="323"/>
      <c r="J6" s="323"/>
      <c r="K6" s="323"/>
      <c r="L6" s="323"/>
      <c r="M6" s="323"/>
      <c r="N6" s="323"/>
    </row>
    <row r="7" spans="1:14">
      <c r="A7" s="323"/>
      <c r="B7" s="323"/>
      <c r="C7" s="263" t="s">
        <v>3</v>
      </c>
      <c r="D7" s="323"/>
      <c r="E7" s="263" t="s">
        <v>4</v>
      </c>
      <c r="F7" s="263"/>
      <c r="G7" s="323"/>
      <c r="H7" s="323"/>
      <c r="I7" s="323"/>
      <c r="J7" s="323"/>
      <c r="K7" s="323"/>
      <c r="L7" s="323"/>
      <c r="M7" s="323"/>
      <c r="N7" s="323"/>
    </row>
    <row r="8" spans="1:14" ht="15">
      <c r="A8" s="323"/>
      <c r="B8" s="300"/>
      <c r="C8" s="266" t="s">
        <v>5</v>
      </c>
      <c r="D8" s="267"/>
      <c r="E8" s="309">
        <f>VLOOKUP(C8,'Tabel 2025 52 weken'!A33:B101,2)</f>
        <v>23211</v>
      </c>
      <c r="F8" s="263"/>
      <c r="G8" s="323"/>
      <c r="H8" s="323"/>
      <c r="I8" s="323"/>
      <c r="J8" s="323"/>
      <c r="K8" s="323"/>
      <c r="L8" s="323"/>
      <c r="M8" s="323"/>
      <c r="N8" s="323"/>
    </row>
    <row r="9" spans="1:14" ht="15.75" customHeight="1">
      <c r="A9" s="323"/>
      <c r="B9" s="323"/>
      <c r="C9" s="264" t="s">
        <v>6</v>
      </c>
      <c r="D9" s="323"/>
      <c r="E9" s="263"/>
      <c r="F9" s="263"/>
      <c r="G9" s="323"/>
      <c r="H9" s="323"/>
      <c r="I9" s="323"/>
      <c r="J9" s="323"/>
      <c r="K9" s="268"/>
      <c r="L9" s="323"/>
      <c r="M9" s="269"/>
      <c r="N9" s="323"/>
    </row>
    <row r="10" spans="1:14" ht="15">
      <c r="A10" s="323"/>
      <c r="B10" s="323"/>
      <c r="C10" s="323"/>
      <c r="D10" s="323"/>
      <c r="E10" s="323"/>
      <c r="F10" s="323"/>
      <c r="G10" s="323"/>
      <c r="H10" s="323"/>
      <c r="I10" s="323"/>
      <c r="J10" s="323"/>
      <c r="K10" s="268"/>
      <c r="L10" s="323"/>
      <c r="M10" s="323"/>
      <c r="N10" s="269"/>
    </row>
    <row r="11" spans="1:14" ht="15" customHeight="1">
      <c r="A11" s="323"/>
      <c r="B11" s="316" t="s">
        <v>7</v>
      </c>
      <c r="C11" s="315" t="s">
        <v>8</v>
      </c>
      <c r="D11" s="323"/>
      <c r="E11" s="317" t="s">
        <v>9</v>
      </c>
      <c r="F11" s="317"/>
      <c r="G11" s="317"/>
      <c r="H11" s="317"/>
      <c r="I11" s="323"/>
      <c r="J11" s="323"/>
      <c r="K11" s="323"/>
      <c r="L11" s="323"/>
      <c r="M11" s="323"/>
      <c r="N11" s="270"/>
    </row>
    <row r="12" spans="1:14" ht="15" customHeight="1">
      <c r="A12" s="323"/>
      <c r="B12" s="316"/>
      <c r="C12" s="316"/>
      <c r="D12" s="271"/>
      <c r="E12" s="317"/>
      <c r="F12" s="317"/>
      <c r="G12" s="317"/>
      <c r="H12" s="317"/>
      <c r="I12" s="323"/>
      <c r="J12" s="323"/>
      <c r="K12" s="323"/>
      <c r="L12" s="323"/>
      <c r="M12" s="323"/>
      <c r="N12" s="269"/>
    </row>
    <row r="13" spans="1:14" ht="15">
      <c r="A13" s="323"/>
      <c r="B13" s="323"/>
      <c r="C13" s="262"/>
      <c r="D13" s="262"/>
      <c r="E13" s="262"/>
      <c r="F13" s="262"/>
      <c r="G13" s="262"/>
      <c r="H13" s="262"/>
      <c r="I13" s="323"/>
      <c r="J13" s="323"/>
      <c r="K13" s="323"/>
      <c r="L13" s="323"/>
      <c r="M13" s="323"/>
      <c r="N13" s="269"/>
    </row>
    <row r="14" spans="1:14" ht="25.5">
      <c r="A14" s="323"/>
      <c r="B14" s="323" t="s">
        <v>10</v>
      </c>
      <c r="C14" s="272" t="s">
        <v>11</v>
      </c>
      <c r="D14" s="273"/>
      <c r="E14" s="310" t="s">
        <v>12</v>
      </c>
      <c r="F14" s="310" t="s">
        <v>13</v>
      </c>
      <c r="G14" s="284" t="s">
        <v>14</v>
      </c>
      <c r="H14" s="285" t="s">
        <v>15</v>
      </c>
      <c r="I14" s="323"/>
      <c r="J14" s="323"/>
      <c r="K14" s="323"/>
      <c r="L14" s="323"/>
      <c r="M14" s="323"/>
      <c r="N14" s="269"/>
    </row>
    <row r="15" spans="1:14" ht="15" customHeight="1">
      <c r="A15" s="323"/>
      <c r="B15" s="323"/>
      <c r="C15" s="274" t="s">
        <v>16</v>
      </c>
      <c r="D15" s="273"/>
      <c r="E15" s="311">
        <f>IF(E42=0,"n.v.t.",E42*'Tabel 2025 52 weken'!$H28)</f>
        <v>131.55500000000001</v>
      </c>
      <c r="F15" s="311">
        <f>IF(F42=0,"n.v.t.",F42*'Tabel 2025 48 weken'!$H28)</f>
        <v>102.92000000000002</v>
      </c>
      <c r="G15" s="307">
        <f>G42*'Tabel 2025 40 weken'!$H28</f>
        <v>35.333333333333336</v>
      </c>
      <c r="H15" s="307">
        <f>G15*12/11</f>
        <v>38.545454545454547</v>
      </c>
      <c r="I15" s="324"/>
      <c r="J15" s="323"/>
      <c r="K15" s="323"/>
      <c r="L15" s="323"/>
      <c r="M15" s="323"/>
      <c r="N15" s="269"/>
    </row>
    <row r="16" spans="1:14" ht="15" customHeight="1">
      <c r="A16" s="323"/>
      <c r="B16" s="323"/>
      <c r="C16" s="325" t="s">
        <v>17</v>
      </c>
      <c r="D16" s="273"/>
      <c r="E16" s="311">
        <f>IF(E42=0,"n.v.t.",VLOOKUP($C$8,'Tabel 2025 52 weken'!$A$33:$N$101,8)*E$42)</f>
        <v>5.2622000000000053</v>
      </c>
      <c r="F16" s="311">
        <f>IF(F42=0,"n.v.t.",VLOOKUP($C$8,'Tabel 2025 48 weken'!$A$33:$N$101,8)*F$42)</f>
        <v>8.4816000000000162</v>
      </c>
      <c r="G16" s="307">
        <f>VLOOKUP($C$8,'Tabel 2025 40 weken'!$A$33:$N$101,8)*G$42</f>
        <v>4.8693333333333344</v>
      </c>
      <c r="H16" s="307">
        <f>G16*12/11</f>
        <v>5.3120000000000012</v>
      </c>
      <c r="I16" s="324"/>
      <c r="J16" s="323"/>
      <c r="K16" s="323"/>
      <c r="L16" s="323"/>
      <c r="M16" s="323"/>
      <c r="N16" s="269"/>
    </row>
    <row r="17" spans="2:13" ht="15" customHeight="1">
      <c r="B17" s="323"/>
      <c r="C17" s="325" t="s">
        <v>18</v>
      </c>
      <c r="D17" s="273"/>
      <c r="E17" s="311">
        <f>IF(E42=0,"n.v.t.",VLOOKUP($C$8,'Tabel 2025 52 weken'!$A$33:$N$101,14)*E$42)</f>
        <v>5.2622000000000053</v>
      </c>
      <c r="F17" s="311">
        <f>IF(F42=0,"n.v.t.",VLOOKUP($C$8,'Tabel 2025 48 weken'!$A$33:$N$101,14)*F$42)</f>
        <v>8.4816000000000162</v>
      </c>
      <c r="G17" s="307">
        <f>VLOOKUP($C$8,'Tabel 2025 40 weken'!$A$33:$N$101,14)*G$42</f>
        <v>4.8693333333333344</v>
      </c>
      <c r="H17" s="307">
        <f>G17*12/11</f>
        <v>5.3120000000000012</v>
      </c>
      <c r="I17" s="324"/>
      <c r="J17" s="323"/>
      <c r="K17" s="323"/>
      <c r="L17" s="323"/>
      <c r="M17" s="323"/>
    </row>
    <row r="18" spans="2:13">
      <c r="B18" s="323"/>
      <c r="C18" s="273"/>
      <c r="D18" s="273"/>
      <c r="E18" s="275"/>
      <c r="F18" s="275"/>
      <c r="G18" s="275"/>
      <c r="H18" s="275"/>
      <c r="I18" s="324"/>
      <c r="J18" s="323"/>
      <c r="K18" s="323"/>
      <c r="L18" s="326"/>
      <c r="M18" s="323"/>
    </row>
    <row r="19" spans="2:13" ht="25.5">
      <c r="B19" s="323" t="s">
        <v>19</v>
      </c>
      <c r="C19" s="272" t="s">
        <v>20</v>
      </c>
      <c r="D19" s="273"/>
      <c r="E19" s="282" t="s">
        <v>12</v>
      </c>
      <c r="F19" s="283" t="s">
        <v>13</v>
      </c>
      <c r="G19" s="284" t="s">
        <v>14</v>
      </c>
      <c r="H19" s="285" t="s">
        <v>15</v>
      </c>
      <c r="I19" s="324"/>
      <c r="J19" s="323"/>
      <c r="K19" s="323"/>
      <c r="L19" s="326"/>
      <c r="M19" s="323"/>
    </row>
    <row r="20" spans="2:13" ht="15" customHeight="1">
      <c r="B20" s="323"/>
      <c r="C20" s="274" t="s">
        <v>16</v>
      </c>
      <c r="D20" s="273"/>
      <c r="E20" s="307">
        <f>IF(E47=0,"n.v.t.",E47*'Tabel 2025 52 weken'!$H28)</f>
        <v>226.65499999999997</v>
      </c>
      <c r="F20" s="307">
        <f>IF(F47=0,"n.v.t.",F47*'Tabel 2025 48 weken'!$H28)</f>
        <v>202.52</v>
      </c>
      <c r="G20" s="307">
        <f>G47*'Tabel 2025 40 weken'!$H28</f>
        <v>141.33333333333334</v>
      </c>
      <c r="H20" s="307">
        <f>G20*12/11</f>
        <v>154.18181818181819</v>
      </c>
      <c r="I20" s="324"/>
      <c r="J20" s="323"/>
      <c r="K20" s="323"/>
      <c r="L20" s="326"/>
      <c r="M20" s="323"/>
    </row>
    <row r="21" spans="2:13" ht="15" customHeight="1">
      <c r="B21" s="323"/>
      <c r="C21" s="325" t="s">
        <v>17</v>
      </c>
      <c r="D21" s="273"/>
      <c r="E21" s="307">
        <f>IF(E47=0,"n.v.t.",VLOOKUP($C$8,'Tabel 2025 52 weken'!$A$33:$N$101,8)*E$47)</f>
        <v>9.0662000000000074</v>
      </c>
      <c r="F21" s="307">
        <f>IF(F47=0,"n.v.t.",VLOOKUP($C$8,'Tabel 2025 48 weken'!$A$33:$N$101,8)*F$47)</f>
        <v>16.689600000000031</v>
      </c>
      <c r="G21" s="307">
        <f>VLOOKUP($C$8,'Tabel 2025 40 weken'!$A$33:$N$101,8)*G$47</f>
        <v>19.477333333333338</v>
      </c>
      <c r="H21" s="307">
        <f>G21*12/11</f>
        <v>21.248000000000005</v>
      </c>
      <c r="I21" s="324"/>
      <c r="J21" s="323"/>
      <c r="K21" s="323"/>
      <c r="L21" s="323"/>
      <c r="M21" s="323"/>
    </row>
    <row r="22" spans="2:13" ht="15" customHeight="1">
      <c r="B22" s="323"/>
      <c r="C22" s="325" t="s">
        <v>18</v>
      </c>
      <c r="D22" s="273"/>
      <c r="E22" s="307">
        <f>IF(E47=0,"n.v.t.",VLOOKUP($C$8,'Tabel 2025 52 weken'!$A$33:$N$101,14)*E$47)</f>
        <v>9.0662000000000074</v>
      </c>
      <c r="F22" s="307">
        <f>IF(F47=0,"n.v.t.",VLOOKUP($C$8,'Tabel 2025 48 weken'!$A$33:$N$101,14)*F$47)</f>
        <v>16.689600000000031</v>
      </c>
      <c r="G22" s="307">
        <f>VLOOKUP($C$8,'Tabel 2025 40 weken'!$A$33:$N$101,14)*G$47</f>
        <v>19.477333333333338</v>
      </c>
      <c r="H22" s="307">
        <f>G22*12/11</f>
        <v>21.248000000000005</v>
      </c>
      <c r="I22" s="324"/>
      <c r="J22" s="323"/>
      <c r="K22" s="323"/>
      <c r="L22" s="323"/>
      <c r="M22" s="323"/>
    </row>
    <row r="23" spans="2:13">
      <c r="B23" s="323"/>
      <c r="C23" s="323"/>
      <c r="D23" s="323"/>
      <c r="E23" s="323"/>
      <c r="F23" s="323"/>
      <c r="G23" s="323"/>
      <c r="H23" s="323"/>
      <c r="I23" s="324"/>
      <c r="J23" s="323"/>
      <c r="K23" s="323"/>
      <c r="L23" s="323"/>
      <c r="M23" s="323"/>
    </row>
    <row r="24" spans="2:13" ht="25.5">
      <c r="B24" s="323" t="s">
        <v>21</v>
      </c>
      <c r="C24" s="272" t="s">
        <v>22</v>
      </c>
      <c r="D24" s="273"/>
      <c r="E24" s="282" t="s">
        <v>12</v>
      </c>
      <c r="F24" s="283" t="s">
        <v>13</v>
      </c>
      <c r="G24" s="284" t="s">
        <v>14</v>
      </c>
      <c r="H24" s="285" t="s">
        <v>15</v>
      </c>
      <c r="I24" s="324"/>
      <c r="J24" s="323"/>
      <c r="K24" s="323"/>
      <c r="L24" s="323"/>
      <c r="M24" s="323"/>
    </row>
    <row r="25" spans="2:13" ht="15" customHeight="1">
      <c r="B25" s="323"/>
      <c r="C25" s="274" t="s">
        <v>16</v>
      </c>
      <c r="D25" s="273"/>
      <c r="E25" s="307">
        <f>IF(E52=0,"n.v.t.",E52*'Tabel 2025 52 weken'!$H28)</f>
        <v>258.35500000000002</v>
      </c>
      <c r="F25" s="307">
        <f>IF(F52=0,"n.v.t.",F52*'Tabel 2025 48 weken'!$H28)</f>
        <v>235.72000000000003</v>
      </c>
      <c r="G25" s="307">
        <f>G52*'Tabel 2025 40 weken'!$H28</f>
        <v>176.66666666666669</v>
      </c>
      <c r="H25" s="307">
        <f>G25*12/11</f>
        <v>192.72727272727272</v>
      </c>
      <c r="I25" s="324"/>
      <c r="J25" s="323"/>
      <c r="K25" s="323"/>
      <c r="L25" s="323"/>
      <c r="M25" s="323"/>
    </row>
    <row r="26" spans="2:13" ht="15" customHeight="1">
      <c r="B26" s="323"/>
      <c r="C26" s="325" t="s">
        <v>17</v>
      </c>
      <c r="D26" s="273"/>
      <c r="E26" s="307">
        <f>IF(E52=0,"n.v.t.",VLOOKUP($C$8,'Tabel 2025 52 weken'!$A$33:$N$101,8)*E$52)</f>
        <v>10.33420000000001</v>
      </c>
      <c r="F26" s="307">
        <f>IF(F52=0,"n.v.t.",VLOOKUP($C$8,'Tabel 2025 48 weken'!$A$33:$N$101,8)*F$52)</f>
        <v>19.425600000000038</v>
      </c>
      <c r="G26" s="307">
        <f>VLOOKUP($C$8,'Tabel 2025 40 weken'!$A$33:$N$101,8)*G$52</f>
        <v>24.346666666666675</v>
      </c>
      <c r="H26" s="307">
        <f>G26*12/11</f>
        <v>26.560000000000006</v>
      </c>
      <c r="I26" s="324"/>
      <c r="J26" s="323"/>
      <c r="K26" s="323"/>
      <c r="L26" s="323"/>
      <c r="M26" s="323"/>
    </row>
    <row r="27" spans="2:13" ht="15" customHeight="1">
      <c r="B27" s="323"/>
      <c r="C27" s="325" t="s">
        <v>18</v>
      </c>
      <c r="D27" s="273"/>
      <c r="E27" s="307">
        <f>IF(E52=0,"n.v.t.",VLOOKUP($C$8,'Tabel 2025 52 weken'!$A$33:$N$101,14)*E$52)</f>
        <v>10.33420000000001</v>
      </c>
      <c r="F27" s="307">
        <f>IF(F52=0,"n.v.t.",VLOOKUP($C$8,'Tabel 2025 48 weken'!$A$33:$N$101,14)*F$52)</f>
        <v>19.425600000000038</v>
      </c>
      <c r="G27" s="307">
        <f>VLOOKUP($C$8,'Tabel 2025 40 weken'!$A$33:$N$101,14)*G$52</f>
        <v>24.346666666666675</v>
      </c>
      <c r="H27" s="307">
        <f>G27*12/11</f>
        <v>26.560000000000006</v>
      </c>
      <c r="I27" s="324"/>
      <c r="J27" s="323"/>
      <c r="K27" s="323"/>
      <c r="L27" s="323"/>
      <c r="M27" s="323"/>
    </row>
    <row r="28" spans="2:13">
      <c r="B28" s="323"/>
      <c r="C28" s="323"/>
      <c r="D28" s="323"/>
      <c r="E28" s="323"/>
      <c r="F28" s="323"/>
      <c r="G28" s="323"/>
      <c r="H28" s="323"/>
      <c r="I28" s="324"/>
      <c r="J28" s="323"/>
      <c r="K28" s="323"/>
      <c r="L28" s="323"/>
      <c r="M28" s="323"/>
    </row>
    <row r="29" spans="2:13">
      <c r="B29" s="323"/>
      <c r="C29" s="308" t="s">
        <v>23</v>
      </c>
      <c r="D29" s="308"/>
      <c r="E29" s="308"/>
      <c r="F29" s="308"/>
      <c r="G29" s="308"/>
      <c r="H29" s="308"/>
      <c r="I29" s="324"/>
      <c r="J29" s="323"/>
      <c r="K29" s="323"/>
      <c r="L29" s="323"/>
      <c r="M29" s="323"/>
    </row>
    <row r="30" spans="2:13" ht="15">
      <c r="B30" s="323"/>
      <c r="C30" s="327"/>
      <c r="D30" s="323"/>
      <c r="E30" s="323"/>
      <c r="F30" s="323"/>
      <c r="G30" s="323"/>
      <c r="H30" s="323"/>
      <c r="I30" s="323"/>
      <c r="J30" s="323"/>
      <c r="K30" s="323"/>
      <c r="L30" s="323"/>
      <c r="M30" s="269"/>
    </row>
    <row r="31" spans="2:13" ht="15">
      <c r="B31" s="261" t="s">
        <v>24</v>
      </c>
      <c r="C31" s="261" t="s">
        <v>25</v>
      </c>
      <c r="D31" s="323"/>
      <c r="E31" s="323"/>
      <c r="F31" s="323"/>
      <c r="G31" s="323"/>
      <c r="H31" s="323"/>
      <c r="I31" s="323"/>
      <c r="J31" s="323"/>
      <c r="K31" s="323"/>
      <c r="L31" s="323"/>
      <c r="M31" s="323"/>
    </row>
    <row r="32" spans="2:13">
      <c r="B32" s="323"/>
      <c r="C32" s="323"/>
      <c r="D32" s="323"/>
      <c r="E32" s="323"/>
      <c r="F32" s="323"/>
      <c r="G32" s="323"/>
      <c r="H32" s="323"/>
      <c r="I32" s="323"/>
      <c r="J32" s="323"/>
      <c r="K32" s="323"/>
      <c r="L32" s="323"/>
      <c r="M32" s="323"/>
    </row>
    <row r="33" spans="2:15">
      <c r="B33" s="276" t="s">
        <v>10</v>
      </c>
      <c r="C33" s="276" t="s">
        <v>26</v>
      </c>
      <c r="D33" s="323"/>
      <c r="E33" s="323"/>
      <c r="F33" s="323"/>
      <c r="G33" s="323"/>
      <c r="H33" s="323"/>
      <c r="I33" s="323"/>
      <c r="J33" s="323"/>
      <c r="K33" s="323"/>
      <c r="L33" s="323"/>
      <c r="M33" s="323"/>
      <c r="N33" s="323"/>
      <c r="O33" s="323"/>
    </row>
    <row r="34" spans="2:15" ht="25.5">
      <c r="B34" s="323"/>
      <c r="C34" s="272"/>
      <c r="D34" s="323"/>
      <c r="E34" s="282" t="s">
        <v>12</v>
      </c>
      <c r="F34" s="283" t="s">
        <v>13</v>
      </c>
      <c r="G34" s="284" t="s">
        <v>14</v>
      </c>
      <c r="H34" s="285" t="s">
        <v>15</v>
      </c>
      <c r="I34" s="302" t="s">
        <v>27</v>
      </c>
      <c r="J34" s="323"/>
      <c r="K34" s="323"/>
      <c r="L34" s="323"/>
      <c r="M34" s="323"/>
      <c r="N34" s="323"/>
      <c r="O34" s="323"/>
    </row>
    <row r="35" spans="2:15" ht="15" customHeight="1">
      <c r="B35" s="323"/>
      <c r="C35" s="325" t="s">
        <v>28</v>
      </c>
      <c r="D35" s="323"/>
      <c r="E35" s="328">
        <f>+IF(E42=0,"n.v.t.",E15/E42)</f>
        <v>9.51</v>
      </c>
      <c r="F35" s="328">
        <f>IF(F42=0,"n.v.t.",F15/F42)</f>
        <v>9.9600000000000009</v>
      </c>
      <c r="G35" s="328">
        <f>IF(G42=0,"n.v.t.",G15/G42)</f>
        <v>10.6</v>
      </c>
      <c r="H35" s="328">
        <f>+G35</f>
        <v>10.6</v>
      </c>
      <c r="I35" s="307">
        <f>1*'Flexibel 2025'!$H28</f>
        <v>11.1</v>
      </c>
      <c r="J35" s="323"/>
      <c r="K35" s="323"/>
      <c r="L35" s="323"/>
      <c r="M35" s="323"/>
      <c r="N35" s="323"/>
      <c r="O35" s="323"/>
    </row>
    <row r="36" spans="2:15" ht="15" customHeight="1">
      <c r="B36" s="323"/>
      <c r="C36" s="325" t="s">
        <v>29</v>
      </c>
      <c r="D36" s="323"/>
      <c r="E36" s="328">
        <f>+IF(E42=0,"n.v.t.",E16/E42)</f>
        <v>0.38040000000000035</v>
      </c>
      <c r="F36" s="328">
        <f>IF(F42=0,"n.v.t.",F16/F42)</f>
        <v>0.82080000000000153</v>
      </c>
      <c r="G36" s="328">
        <f>IF(G42=0,"n.v.t.",G16/G42)</f>
        <v>1.4608000000000003</v>
      </c>
      <c r="H36" s="328">
        <f>+G36</f>
        <v>1.4608000000000003</v>
      </c>
      <c r="I36" s="307">
        <f>VLOOKUP($C$8,'Flexibel 2025'!$A$33:$N$101,8)*1</f>
        <v>1.9608000000000003</v>
      </c>
      <c r="J36" s="323"/>
      <c r="K36" s="323"/>
      <c r="L36" s="323"/>
      <c r="M36" s="323"/>
      <c r="N36" s="323"/>
      <c r="O36" s="323"/>
    </row>
    <row r="37" spans="2:15" ht="15" customHeight="1">
      <c r="B37" s="323"/>
      <c r="C37" s="325" t="s">
        <v>30</v>
      </c>
      <c r="D37" s="323"/>
      <c r="E37" s="328">
        <f>+IF(E42=0,"n.v.t.",E17/E42)</f>
        <v>0.38040000000000035</v>
      </c>
      <c r="F37" s="328">
        <f>IF(F42=0,"n.v.t.",F17/F42)</f>
        <v>0.82080000000000153</v>
      </c>
      <c r="G37" s="328">
        <f>IF(G42=0,"n.v.t.",G17/G42)</f>
        <v>1.4608000000000003</v>
      </c>
      <c r="H37" s="328">
        <f>+G37</f>
        <v>1.4608000000000003</v>
      </c>
      <c r="I37" s="307">
        <f>VLOOKUP($C$8,'Flexibel 2025'!$A$33:$N$101,14)*1</f>
        <v>1.9608000000000003</v>
      </c>
      <c r="J37" s="323"/>
      <c r="K37" s="323"/>
      <c r="L37" s="323"/>
      <c r="M37" s="323"/>
      <c r="N37" s="323"/>
      <c r="O37" s="323"/>
    </row>
    <row r="38" spans="2:15">
      <c r="B38" s="323"/>
      <c r="C38" s="323"/>
      <c r="D38" s="323"/>
      <c r="E38" s="324"/>
      <c r="F38" s="324"/>
      <c r="G38" s="324"/>
      <c r="H38" s="324"/>
      <c r="I38" s="323"/>
      <c r="J38" s="323"/>
      <c r="K38" s="323"/>
      <c r="L38" s="323"/>
      <c r="M38" s="323"/>
      <c r="N38" s="323"/>
      <c r="O38" s="323"/>
    </row>
    <row r="39" spans="2:15">
      <c r="B39" s="276" t="s">
        <v>19</v>
      </c>
      <c r="C39" s="276" t="s">
        <v>31</v>
      </c>
      <c r="D39" s="323"/>
      <c r="E39" s="324"/>
      <c r="F39" s="324"/>
      <c r="G39" s="324"/>
      <c r="H39" s="323"/>
      <c r="I39" s="323"/>
      <c r="J39" s="323"/>
      <c r="K39" s="323"/>
      <c r="L39" s="323"/>
      <c r="M39" s="323"/>
      <c r="N39" s="323"/>
      <c r="O39" s="323"/>
    </row>
    <row r="40" spans="2:15" ht="25.5">
      <c r="B40" s="323"/>
      <c r="C40" s="272" t="s">
        <v>11</v>
      </c>
      <c r="D40" s="273"/>
      <c r="E40" s="310" t="s">
        <v>12</v>
      </c>
      <c r="F40" s="310" t="s">
        <v>13</v>
      </c>
      <c r="G40" s="284" t="s">
        <v>14</v>
      </c>
      <c r="H40" s="285" t="s">
        <v>15</v>
      </c>
      <c r="I40" s="323"/>
      <c r="J40" s="323"/>
      <c r="K40" s="323"/>
      <c r="L40" s="323"/>
      <c r="M40" s="323"/>
      <c r="N40" s="323"/>
      <c r="O40" s="323"/>
    </row>
    <row r="41" spans="2:15" ht="15" customHeight="1">
      <c r="B41" s="323"/>
      <c r="C41" s="325" t="s">
        <v>32</v>
      </c>
      <c r="D41" s="323"/>
      <c r="E41" s="312">
        <f>Schooltijden!L80/5</f>
        <v>166</v>
      </c>
      <c r="F41" s="312">
        <f>Schooltijden!M80/5</f>
        <v>124</v>
      </c>
      <c r="G41" s="329">
        <f>Schooltijden!N80/5</f>
        <v>40</v>
      </c>
      <c r="H41" s="329">
        <f>+G41</f>
        <v>40</v>
      </c>
      <c r="I41" s="330"/>
      <c r="J41" s="323"/>
      <c r="K41" s="330"/>
      <c r="L41" s="323"/>
      <c r="M41" s="323"/>
      <c r="N41" s="323"/>
      <c r="O41" s="323"/>
    </row>
    <row r="42" spans="2:15" ht="15" customHeight="1">
      <c r="B42" s="323"/>
      <c r="C42" s="325" t="s">
        <v>33</v>
      </c>
      <c r="D42" s="323"/>
      <c r="E42" s="313">
        <f>E41/12</f>
        <v>13.833333333333334</v>
      </c>
      <c r="F42" s="313">
        <f>F41/12</f>
        <v>10.333333333333334</v>
      </c>
      <c r="G42" s="331">
        <f>G41/12</f>
        <v>3.3333333333333335</v>
      </c>
      <c r="H42" s="332">
        <f>+G42</f>
        <v>3.3333333333333335</v>
      </c>
      <c r="I42" s="323"/>
      <c r="J42" s="323"/>
      <c r="K42" s="323"/>
      <c r="L42" s="323"/>
      <c r="M42" s="323"/>
      <c r="N42" s="323"/>
      <c r="O42" s="333"/>
    </row>
    <row r="43" spans="2:15" ht="15" customHeight="1">
      <c r="B43" s="323"/>
      <c r="C43" s="325" t="s">
        <v>34</v>
      </c>
      <c r="D43" s="323"/>
      <c r="E43" s="323"/>
      <c r="F43" s="323"/>
      <c r="G43" s="323"/>
      <c r="H43" s="332">
        <f>G42*12/11</f>
        <v>3.6363636363636362</v>
      </c>
      <c r="I43" s="323"/>
      <c r="J43" s="323"/>
      <c r="K43" s="323"/>
      <c r="L43" s="323"/>
      <c r="M43" s="323"/>
      <c r="N43" s="323"/>
      <c r="O43" s="323"/>
    </row>
    <row r="44" spans="2:15">
      <c r="B44" s="323"/>
      <c r="C44" s="323"/>
      <c r="D44" s="323"/>
      <c r="E44" s="323"/>
      <c r="F44" s="323"/>
      <c r="G44" s="323"/>
      <c r="H44" s="323"/>
      <c r="I44" s="323"/>
      <c r="J44" s="323"/>
      <c r="K44" s="323"/>
      <c r="L44" s="323"/>
      <c r="M44" s="323"/>
      <c r="N44" s="323"/>
      <c r="O44" s="323"/>
    </row>
    <row r="45" spans="2:15" ht="25.5">
      <c r="B45" s="323"/>
      <c r="C45" s="272" t="s">
        <v>20</v>
      </c>
      <c r="D45" s="323"/>
      <c r="E45" s="282" t="s">
        <v>12</v>
      </c>
      <c r="F45" s="283" t="s">
        <v>13</v>
      </c>
      <c r="G45" s="284" t="s">
        <v>14</v>
      </c>
      <c r="H45" s="285" t="s">
        <v>15</v>
      </c>
      <c r="I45" s="323"/>
      <c r="J45" s="323"/>
      <c r="K45" s="323"/>
      <c r="L45" s="323"/>
      <c r="M45" s="323"/>
      <c r="N45" s="323"/>
      <c r="O45" s="323"/>
    </row>
    <row r="46" spans="2:15" ht="15" customHeight="1">
      <c r="B46" s="323"/>
      <c r="C46" s="325" t="s">
        <v>32</v>
      </c>
      <c r="D46" s="323"/>
      <c r="E46" s="329">
        <f>+Schooltijden!L$82/5</f>
        <v>286</v>
      </c>
      <c r="F46" s="329">
        <f>+Schooltijden!M$82/5</f>
        <v>244</v>
      </c>
      <c r="G46" s="329">
        <f>+Schooltijden!N$82/5</f>
        <v>160</v>
      </c>
      <c r="H46" s="329">
        <f>+G46</f>
        <v>160</v>
      </c>
      <c r="I46" s="323"/>
      <c r="J46" s="323"/>
      <c r="K46" s="330"/>
      <c r="L46" s="323"/>
      <c r="M46" s="323"/>
      <c r="N46" s="323"/>
      <c r="O46" s="323"/>
    </row>
    <row r="47" spans="2:15" ht="15" customHeight="1">
      <c r="B47" s="323"/>
      <c r="C47" s="325" t="s">
        <v>33</v>
      </c>
      <c r="D47" s="323"/>
      <c r="E47" s="331">
        <f>E46/12</f>
        <v>23.833333333333332</v>
      </c>
      <c r="F47" s="331">
        <f>F46/12</f>
        <v>20.333333333333332</v>
      </c>
      <c r="G47" s="331">
        <f>G46/12</f>
        <v>13.333333333333334</v>
      </c>
      <c r="H47" s="332">
        <f>+G47</f>
        <v>13.333333333333334</v>
      </c>
      <c r="I47" s="323"/>
      <c r="J47" s="323"/>
      <c r="K47" s="323"/>
      <c r="L47" s="323"/>
      <c r="M47" s="323"/>
      <c r="N47" s="323"/>
      <c r="O47" s="323"/>
    </row>
    <row r="48" spans="2:15" ht="15" customHeight="1">
      <c r="B48" s="323"/>
      <c r="C48" s="325" t="s">
        <v>34</v>
      </c>
      <c r="D48" s="323"/>
      <c r="E48" s="323"/>
      <c r="F48" s="323"/>
      <c r="G48" s="323"/>
      <c r="H48" s="332">
        <f>G47*12/11</f>
        <v>14.545454545454545</v>
      </c>
      <c r="I48" s="323"/>
      <c r="J48" s="323"/>
      <c r="K48" s="323"/>
      <c r="L48" s="323"/>
      <c r="M48" s="323"/>
      <c r="N48" s="323"/>
      <c r="O48" s="323"/>
    </row>
    <row r="49" spans="2:11">
      <c r="B49" s="323"/>
      <c r="C49" s="323"/>
      <c r="D49" s="323"/>
      <c r="E49" s="323"/>
      <c r="F49" s="323"/>
      <c r="G49" s="323"/>
      <c r="H49" s="323"/>
      <c r="I49" s="323"/>
      <c r="J49" s="323"/>
      <c r="K49" s="323"/>
    </row>
    <row r="50" spans="2:11" ht="25.5">
      <c r="B50" s="323"/>
      <c r="C50" s="272" t="s">
        <v>22</v>
      </c>
      <c r="D50" s="323"/>
      <c r="E50" s="282" t="s">
        <v>12</v>
      </c>
      <c r="F50" s="283" t="s">
        <v>13</v>
      </c>
      <c r="G50" s="284" t="s">
        <v>14</v>
      </c>
      <c r="H50" s="285" t="s">
        <v>15</v>
      </c>
      <c r="I50" s="323"/>
      <c r="J50" s="323"/>
      <c r="K50" s="323"/>
    </row>
    <row r="51" spans="2:11" ht="15" customHeight="1">
      <c r="B51" s="323"/>
      <c r="C51" s="325" t="s">
        <v>32</v>
      </c>
      <c r="D51" s="323"/>
      <c r="E51" s="329">
        <f>+Schooltijden!L81/5</f>
        <v>326</v>
      </c>
      <c r="F51" s="329">
        <f>+Schooltijden!M81/5</f>
        <v>284</v>
      </c>
      <c r="G51" s="329">
        <f>+Schooltijden!N81/5</f>
        <v>200</v>
      </c>
      <c r="H51" s="329">
        <f>+G51</f>
        <v>200</v>
      </c>
      <c r="I51" s="323"/>
      <c r="J51" s="323"/>
      <c r="K51" s="330"/>
    </row>
    <row r="52" spans="2:11" ht="15" customHeight="1">
      <c r="B52" s="323"/>
      <c r="C52" s="325" t="s">
        <v>33</v>
      </c>
      <c r="D52" s="323"/>
      <c r="E52" s="331">
        <f>E51/12</f>
        <v>27.166666666666668</v>
      </c>
      <c r="F52" s="331">
        <f>F51/12</f>
        <v>23.666666666666668</v>
      </c>
      <c r="G52" s="331">
        <f>G51/12</f>
        <v>16.666666666666668</v>
      </c>
      <c r="H52" s="331">
        <f>+G52</f>
        <v>16.666666666666668</v>
      </c>
      <c r="I52" s="323"/>
      <c r="J52" s="323"/>
      <c r="K52" s="323"/>
    </row>
    <row r="53" spans="2:11" ht="15" customHeight="1">
      <c r="B53" s="323"/>
      <c r="C53" s="325" t="s">
        <v>34</v>
      </c>
      <c r="D53" s="323"/>
      <c r="E53" s="323"/>
      <c r="F53" s="323"/>
      <c r="G53" s="323"/>
      <c r="H53" s="332">
        <f>G52*12/11</f>
        <v>18.181818181818183</v>
      </c>
      <c r="I53" s="323"/>
      <c r="J53" s="323"/>
      <c r="K53" s="323"/>
    </row>
    <row r="54" spans="2:11">
      <c r="B54" s="323"/>
      <c r="C54" s="323"/>
      <c r="D54" s="323"/>
      <c r="E54" s="323"/>
      <c r="F54" s="323"/>
      <c r="G54" s="323"/>
      <c r="H54" s="323"/>
      <c r="I54" s="323"/>
      <c r="J54" s="323"/>
      <c r="K54" s="323"/>
    </row>
    <row r="55" spans="2:11" ht="25.5" customHeight="1">
      <c r="B55" s="323"/>
      <c r="C55" s="308" t="str">
        <f>+C29</f>
        <v>* Een 40-wekencontract wordt in 11 termijnen per jaar gefactureerd. Juli wordt niet gefactureerd. Per saldo zijn de totale kosten per jaar uiteraard gelijk.</v>
      </c>
      <c r="D55" s="308"/>
      <c r="E55" s="308"/>
      <c r="F55" s="308"/>
      <c r="G55" s="308"/>
      <c r="H55" s="308"/>
      <c r="I55" s="323"/>
      <c r="J55" s="323"/>
      <c r="K55" s="323"/>
    </row>
    <row r="56" spans="2:11" ht="26.25" customHeight="1">
      <c r="B56" s="314" t="s">
        <v>35</v>
      </c>
      <c r="C56" s="314"/>
      <c r="D56" s="314"/>
      <c r="E56" s="314"/>
      <c r="F56" s="314"/>
      <c r="G56" s="314"/>
      <c r="H56" s="314"/>
      <c r="I56" s="314"/>
      <c r="J56" s="323"/>
      <c r="K56" s="323"/>
    </row>
    <row r="57" spans="2:11">
      <c r="B57" s="323"/>
      <c r="C57" s="276"/>
      <c r="D57" s="276"/>
      <c r="E57" s="323"/>
      <c r="F57" s="323"/>
      <c r="G57" s="323"/>
      <c r="H57" s="323"/>
      <c r="I57" s="323"/>
      <c r="J57" s="323"/>
      <c r="K57" s="323"/>
    </row>
    <row r="58" spans="2:11" ht="26.25" customHeight="1">
      <c r="B58" s="314" t="s">
        <v>36</v>
      </c>
      <c r="C58" s="314"/>
      <c r="D58" s="314"/>
      <c r="E58" s="314"/>
      <c r="F58" s="314"/>
      <c r="G58" s="314"/>
      <c r="H58" s="314"/>
      <c r="I58" s="314"/>
      <c r="J58" s="323"/>
      <c r="K58" s="323"/>
    </row>
    <row r="59" spans="2:11" ht="12.75" customHeight="1">
      <c r="B59" s="276"/>
      <c r="C59" s="276"/>
      <c r="D59" s="276"/>
      <c r="E59" s="276"/>
      <c r="F59" s="276"/>
      <c r="G59" s="276"/>
      <c r="H59" s="276"/>
      <c r="I59" s="276"/>
      <c r="J59" s="276"/>
      <c r="K59" s="323"/>
    </row>
    <row r="60" spans="2:11" hidden="1">
      <c r="B60" s="276"/>
      <c r="C60"/>
      <c r="D60" s="323"/>
      <c r="E60" s="323"/>
      <c r="F60" s="323"/>
      <c r="G60" s="323"/>
      <c r="H60" s="323"/>
      <c r="I60" s="323"/>
      <c r="J60" s="323"/>
      <c r="K60" s="323"/>
    </row>
    <row r="61" spans="2:11" hidden="1">
      <c r="B61" s="323"/>
      <c r="C61" s="276"/>
      <c r="D61" s="323"/>
      <c r="E61" s="323"/>
      <c r="F61" s="323"/>
      <c r="G61" s="323"/>
      <c r="H61" s="323"/>
      <c r="I61" s="323"/>
      <c r="J61" s="323"/>
      <c r="K61" s="323"/>
    </row>
    <row r="62" spans="2:11" hidden="1">
      <c r="B62" s="323"/>
      <c r="C62" s="276"/>
      <c r="D62" s="323"/>
      <c r="E62" s="323"/>
      <c r="F62" s="323"/>
      <c r="G62" s="323"/>
      <c r="H62" s="323"/>
      <c r="I62" s="323"/>
      <c r="J62" s="323"/>
      <c r="K62" s="323"/>
    </row>
    <row r="63" spans="2:11">
      <c r="B63" s="314" t="s">
        <v>37</v>
      </c>
      <c r="C63" s="314"/>
      <c r="D63" s="314"/>
      <c r="E63" s="314"/>
      <c r="F63" s="314"/>
      <c r="G63" s="314"/>
      <c r="H63" s="314"/>
      <c r="I63" s="314"/>
      <c r="J63" s="323"/>
      <c r="K63" s="323"/>
    </row>
    <row r="64" spans="2:11" hidden="1">
      <c r="B64" s="263"/>
      <c r="C64" s="276"/>
      <c r="D64" s="323"/>
      <c r="E64" s="323"/>
      <c r="F64" s="323"/>
      <c r="G64" s="323"/>
      <c r="H64" s="323"/>
      <c r="I64" s="323"/>
      <c r="J64" s="323"/>
      <c r="K64" s="323"/>
    </row>
    <row r="65" spans="2:3" hidden="1">
      <c r="B65" s="263"/>
      <c r="C65" s="277"/>
    </row>
    <row r="66" spans="2:3" hidden="1">
      <c r="B66" s="263"/>
      <c r="C66" s="278"/>
    </row>
    <row r="67" spans="2:3" hidden="1">
      <c r="B67" s="323"/>
      <c r="C67" s="279"/>
    </row>
    <row r="68" spans="2:3" hidden="1">
      <c r="B68" s="323"/>
      <c r="C68" s="263"/>
    </row>
    <row r="69" spans="2:3" hidden="1">
      <c r="B69" s="323"/>
      <c r="C69" s="263"/>
    </row>
    <row r="70" spans="2:3" hidden="1">
      <c r="B70" s="323"/>
      <c r="C70" s="263"/>
    </row>
    <row r="71" spans="2:3">
      <c r="B71" s="323"/>
      <c r="C71" s="323"/>
    </row>
    <row r="72" spans="2:3">
      <c r="B72" s="323"/>
      <c r="C72" s="323"/>
    </row>
    <row r="73" spans="2:3">
      <c r="B73" s="323"/>
      <c r="C73" s="323"/>
    </row>
    <row r="74" spans="2:3">
      <c r="B74" s="323"/>
      <c r="C74" s="323"/>
    </row>
    <row r="75" spans="2:3">
      <c r="B75" s="323"/>
      <c r="C75" s="323"/>
    </row>
    <row r="76" spans="2:3">
      <c r="B76" s="323"/>
      <c r="C76" s="323"/>
    </row>
    <row r="77" spans="2:3">
      <c r="B77" s="323"/>
      <c r="C77" s="323"/>
    </row>
    <row r="78" spans="2:3">
      <c r="B78" s="323"/>
      <c r="C78" s="323"/>
    </row>
  </sheetData>
  <sheetProtection algorithmName="SHA-512" hashValue="OlXaZ0PfOayD5FTo247/FxldROn0e5xSLa5qJZ7iU5Zrhd4G+ryYNVY6/6ENW4dg4eYGm/1F/h3zU75tW6fqPg==" saltValue="orJLnxl7oSoFya0gV+RAEw==" spinCount="100000" sheet="1" objects="1" scenarios="1"/>
  <dataConsolidate/>
  <mergeCells count="6">
    <mergeCell ref="B63:I63"/>
    <mergeCell ref="C11:C12"/>
    <mergeCell ref="B11:B12"/>
    <mergeCell ref="E11:H12"/>
    <mergeCell ref="B56:I56"/>
    <mergeCell ref="B58:I58"/>
  </mergeCells>
  <pageMargins left="0.70866141732283472" right="0.70866141732283472" top="0.74803149606299213" bottom="0.74803149606299213" header="0.31496062992125984" footer="0.31496062992125984"/>
  <pageSetup paperSize="9" scale="52" orientation="portrait" r:id="rId1"/>
  <extLst>
    <ext xmlns:x14="http://schemas.microsoft.com/office/spreadsheetml/2009/9/main" uri="{CCE6A557-97BC-4b89-ADB6-D9C93CAAB3DF}">
      <x14:dataValidations xmlns:xm="http://schemas.microsoft.com/office/excel/2006/main" xWindow="354" yWindow="218" count="1">
        <x14:dataValidation type="list" allowBlank="1" showInputMessage="1" showErrorMessage="1" error="Klik op Annuleren en vervolgens op het pijltje rechts van dit invoervak." xr:uid="{00000000-0002-0000-0000-000000000000}">
          <x14:formula1>
            <xm:f>'Tabel 2025 52 weken incl. 27'!$A$33:$A$101</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78"/>
  <sheetViews>
    <sheetView topLeftCell="A4" workbookViewId="0">
      <pane ySplit="13" topLeftCell="A17" activePane="bottomLeft" state="frozen"/>
      <selection pane="bottomLeft" activeCell="D104" sqref="D104:J104"/>
      <selection activeCell="F19" sqref="F19:F20"/>
    </sheetView>
  </sheetViews>
  <sheetFormatPr defaultColWidth="9.140625" defaultRowHeight="12.75"/>
  <cols>
    <col min="1" max="2" width="12" style="78" customWidth="1"/>
    <col min="3" max="3" width="2.7109375" customWidth="1"/>
    <col min="4" max="4" width="12" style="79" customWidth="1"/>
    <col min="5" max="5" width="2.7109375" customWidth="1"/>
    <col min="6" max="6" width="12" style="80" customWidth="1"/>
    <col min="7" max="7" width="2.7109375" customWidth="1"/>
    <col min="8" max="8" width="12" style="80" customWidth="1"/>
    <col min="9" max="9" width="16.7109375" bestFit="1" customWidth="1"/>
    <col min="10" max="10" width="12" style="79" customWidth="1"/>
    <col min="11" max="11" width="2.7109375" customWidth="1"/>
    <col min="12" max="12" width="12" customWidth="1"/>
    <col min="13" max="13" width="2.7109375" customWidth="1"/>
    <col min="14" max="14" width="12" customWidth="1"/>
    <col min="17" max="17" width="10.7109375" customWidth="1"/>
  </cols>
  <sheetData>
    <row r="1" spans="1:2" customFormat="1" ht="19.5">
      <c r="A1" s="75" t="s">
        <v>38</v>
      </c>
    </row>
    <row r="2" spans="1:2" customFormat="1">
      <c r="A2" t="s">
        <v>39</v>
      </c>
    </row>
    <row r="3" spans="1:2" customFormat="1"/>
    <row r="4" spans="1:2" customFormat="1"/>
    <row r="5" spans="1:2" customFormat="1" ht="14.25">
      <c r="A5" s="76" t="s">
        <v>40</v>
      </c>
    </row>
    <row r="6" spans="1:2" customFormat="1"/>
    <row r="7" spans="1:2" customFormat="1" ht="15">
      <c r="A7" s="77" t="s">
        <v>41</v>
      </c>
      <c r="B7" t="s">
        <v>42</v>
      </c>
    </row>
    <row r="8" spans="1:2" customFormat="1" ht="15">
      <c r="A8" s="77" t="s">
        <v>43</v>
      </c>
      <c r="B8" t="s">
        <v>44</v>
      </c>
    </row>
    <row r="9" spans="1:2" customFormat="1" ht="15">
      <c r="A9" s="77"/>
      <c r="B9" t="s">
        <v>45</v>
      </c>
    </row>
    <row r="10" spans="1:2" customFormat="1" ht="15">
      <c r="A10" s="77"/>
      <c r="B10" t="s">
        <v>46</v>
      </c>
    </row>
    <row r="11" spans="1:2" customFormat="1" ht="15">
      <c r="A11" s="77"/>
      <c r="B11" t="s">
        <v>47</v>
      </c>
    </row>
    <row r="12" spans="1:2" customFormat="1" ht="15">
      <c r="A12" s="77" t="s">
        <v>48</v>
      </c>
      <c r="B12" t="s">
        <v>49</v>
      </c>
    </row>
    <row r="13" spans="1:2" customFormat="1">
      <c r="B13" t="s">
        <v>45</v>
      </c>
    </row>
    <row r="14" spans="1:2" customFormat="1">
      <c r="B14" t="s">
        <v>46</v>
      </c>
    </row>
    <row r="15" spans="1:2" customFormat="1">
      <c r="B15" t="s">
        <v>47</v>
      </c>
    </row>
    <row r="16" spans="1:2" customFormat="1"/>
    <row r="17" spans="1:14">
      <c r="A17"/>
      <c r="B17"/>
      <c r="D17"/>
      <c r="F17"/>
      <c r="H17"/>
      <c r="J17"/>
    </row>
    <row r="18" spans="1:14">
      <c r="F18" s="80" t="s">
        <v>50</v>
      </c>
      <c r="J18" s="81"/>
    </row>
    <row r="19" spans="1:14">
      <c r="A19" s="80" t="s">
        <v>51</v>
      </c>
      <c r="D19" s="235">
        <v>10.71</v>
      </c>
      <c r="F19" s="236">
        <f>IF(F28-D19&gt;0,F28-D19,0)</f>
        <v>0</v>
      </c>
      <c r="L19" s="82"/>
      <c r="N19" s="80"/>
    </row>
    <row r="20" spans="1:14">
      <c r="A20" s="80" t="s">
        <v>52</v>
      </c>
      <c r="D20" s="235">
        <v>9.52</v>
      </c>
      <c r="F20" s="236">
        <f>IF(H28-D20&gt;0,H28-D20,0)</f>
        <v>0</v>
      </c>
      <c r="J20" s="303" t="s">
        <v>53</v>
      </c>
      <c r="N20" s="80"/>
    </row>
    <row r="21" spans="1:14">
      <c r="A21" s="80"/>
      <c r="D21" s="80"/>
      <c r="N21" s="80"/>
    </row>
    <row r="22" spans="1:14">
      <c r="A22" s="80"/>
      <c r="D22" s="80"/>
      <c r="N22" s="80"/>
    </row>
    <row r="23" spans="1:14">
      <c r="A23" s="80"/>
      <c r="D23" s="80"/>
      <c r="N23" s="80"/>
    </row>
    <row r="24" spans="1:14" ht="15">
      <c r="A24" s="318" t="s">
        <v>54</v>
      </c>
      <c r="B24" s="318"/>
      <c r="D24" s="319" t="s">
        <v>55</v>
      </c>
      <c r="E24" s="319"/>
      <c r="F24" s="319"/>
      <c r="G24" s="319"/>
      <c r="H24" s="319"/>
      <c r="I24" s="83"/>
      <c r="J24" s="320" t="s">
        <v>56</v>
      </c>
      <c r="K24" s="320"/>
      <c r="L24" s="320"/>
      <c r="M24" s="320"/>
      <c r="N24" s="320"/>
    </row>
    <row r="25" spans="1:14">
      <c r="A25" s="280" t="s">
        <v>57</v>
      </c>
      <c r="B25" s="280"/>
      <c r="D25" s="237" t="s">
        <v>58</v>
      </c>
      <c r="E25" s="85"/>
      <c r="F25" s="86"/>
      <c r="G25" s="85"/>
      <c r="H25" s="86"/>
      <c r="J25" s="238" t="s">
        <v>58</v>
      </c>
      <c r="K25" s="87"/>
      <c r="L25" s="87"/>
      <c r="M25" s="87"/>
      <c r="N25" s="87"/>
    </row>
    <row r="26" spans="1:14" ht="24">
      <c r="A26" s="280" t="s">
        <v>59</v>
      </c>
      <c r="B26" s="280"/>
      <c r="D26" s="237" t="s">
        <v>60</v>
      </c>
      <c r="E26" s="85"/>
      <c r="F26" s="88" t="s">
        <v>61</v>
      </c>
      <c r="G26" s="86"/>
      <c r="H26" s="88" t="s">
        <v>62</v>
      </c>
      <c r="J26" s="238" t="s">
        <v>60</v>
      </c>
      <c r="K26" s="87"/>
      <c r="L26" s="90" t="s">
        <v>63</v>
      </c>
      <c r="M26" s="87"/>
      <c r="N26" s="90" t="s">
        <v>64</v>
      </c>
    </row>
    <row r="27" spans="1:14" ht="24">
      <c r="A27" s="280" t="s">
        <v>65</v>
      </c>
      <c r="B27" s="281">
        <f>B33/20302</f>
        <v>1.1432863757265295</v>
      </c>
      <c r="D27" s="91"/>
      <c r="E27" s="85"/>
      <c r="F27" s="92" t="s">
        <v>66</v>
      </c>
      <c r="G27" s="86"/>
      <c r="H27" s="92" t="s">
        <v>67</v>
      </c>
      <c r="J27" s="94"/>
      <c r="K27" s="87"/>
      <c r="L27" s="95" t="s">
        <v>66</v>
      </c>
      <c r="M27" s="96"/>
      <c r="N27" s="95" t="s">
        <v>67</v>
      </c>
    </row>
    <row r="28" spans="1:14">
      <c r="A28" s="280"/>
      <c r="B28" s="280"/>
      <c r="D28" s="91"/>
      <c r="E28" s="85"/>
      <c r="F28" s="235">
        <v>10.59</v>
      </c>
      <c r="G28" s="93"/>
      <c r="H28" s="235">
        <v>9.51</v>
      </c>
      <c r="I28" t="s">
        <v>68</v>
      </c>
      <c r="J28" s="94"/>
      <c r="K28" s="87"/>
      <c r="L28" s="97">
        <f>F28</f>
        <v>10.59</v>
      </c>
      <c r="M28" s="87"/>
      <c r="N28" s="97">
        <f>H28</f>
        <v>9.51</v>
      </c>
    </row>
    <row r="29" spans="1:14" ht="13.5" thickBot="1">
      <c r="A29" s="280"/>
      <c r="B29" s="280"/>
      <c r="D29" s="91"/>
      <c r="E29" s="85"/>
      <c r="F29" s="86"/>
      <c r="G29" s="85"/>
      <c r="H29" s="86"/>
      <c r="J29" s="94"/>
      <c r="K29" s="87"/>
      <c r="L29" s="87"/>
      <c r="M29" s="87"/>
      <c r="N29" s="87"/>
    </row>
    <row r="30" spans="1:14">
      <c r="A30" s="280" t="s">
        <v>3</v>
      </c>
      <c r="B30" s="280" t="s">
        <v>4</v>
      </c>
      <c r="D30" s="239" t="s">
        <v>69</v>
      </c>
      <c r="E30" s="85"/>
      <c r="F30" s="99" t="s">
        <v>70</v>
      </c>
      <c r="G30" s="85"/>
      <c r="H30" s="99" t="s">
        <v>70</v>
      </c>
      <c r="J30" s="240" t="s">
        <v>71</v>
      </c>
      <c r="K30" s="87"/>
      <c r="L30" s="100" t="s">
        <v>70</v>
      </c>
      <c r="M30" s="87"/>
      <c r="N30" s="100" t="s">
        <v>70</v>
      </c>
    </row>
    <row r="31" spans="1:14" ht="13.5" thickBot="1">
      <c r="A31" s="280"/>
      <c r="B31" s="280"/>
      <c r="D31" s="241" t="s">
        <v>72</v>
      </c>
      <c r="E31" s="85"/>
      <c r="F31" s="102" t="s">
        <v>73</v>
      </c>
      <c r="G31" s="85"/>
      <c r="H31" s="102" t="s">
        <v>73</v>
      </c>
      <c r="J31" s="242" t="s">
        <v>74</v>
      </c>
      <c r="K31" s="87"/>
      <c r="L31" s="103" t="s">
        <v>73</v>
      </c>
      <c r="M31" s="87"/>
      <c r="N31" s="103" t="s">
        <v>73</v>
      </c>
    </row>
    <row r="32" spans="1:14">
      <c r="A32" s="280"/>
      <c r="B32" s="280"/>
      <c r="D32" s="91"/>
      <c r="E32" s="85"/>
      <c r="F32" s="86"/>
      <c r="G32" s="85"/>
      <c r="H32" s="86"/>
      <c r="J32" s="94"/>
      <c r="K32" s="87"/>
      <c r="L32" s="87"/>
      <c r="M32" s="87"/>
      <c r="N32" s="87"/>
    </row>
    <row r="33" spans="1:23">
      <c r="A33" s="297" t="s">
        <v>5</v>
      </c>
      <c r="B33" s="298">
        <v>23211</v>
      </c>
      <c r="D33" s="299">
        <v>0.96</v>
      </c>
      <c r="E33" s="140"/>
      <c r="F33" s="293">
        <f>IF($D$19&gt;=$F$28,($F$28*(100%-D33))+($F$19),$D$19*(100%-D33)+$F$19)</f>
        <v>0.42360000000000037</v>
      </c>
      <c r="G33" s="292"/>
      <c r="H33" s="293">
        <f>IF($D$20&gt;=$H$28,($H$28*(100%-D33))+($F$20),$D$20*(100%-D33)+($F$20))</f>
        <v>0.38040000000000035</v>
      </c>
      <c r="J33" s="299">
        <v>0.96</v>
      </c>
      <c r="K33" s="141"/>
      <c r="L33" s="295">
        <f>IF($D$19&gt;=$L$28,($L$28*(100%-J33))+(F$19),$D$19*(100%-J33)+$F$19)</f>
        <v>0.42360000000000037</v>
      </c>
      <c r="M33" s="294"/>
      <c r="N33" s="295">
        <f>IF($D$20&gt;=$H$28,($H$28*(100%-J33))+($F$20),$D$20*(100%-J33)+($F$20))</f>
        <v>0.38040000000000035</v>
      </c>
      <c r="P33" s="244"/>
    </row>
    <row r="34" spans="1:23">
      <c r="A34" s="298">
        <v>23212</v>
      </c>
      <c r="B34" s="298">
        <v>24756</v>
      </c>
      <c r="D34" s="299">
        <v>0.96</v>
      </c>
      <c r="E34" s="140"/>
      <c r="F34" s="293">
        <f t="shared" ref="F34:F97" si="0">IF($D$19&gt;=$F$28,($F$28*(100%-D34))+($F$19),$D$19*(100%-D34)+$F$19)</f>
        <v>0.42360000000000037</v>
      </c>
      <c r="G34" s="292"/>
      <c r="H34" s="293">
        <f t="shared" ref="H34:H97" si="1">IF($D$20&gt;=$H$28,($H$28*(100%-D34))+($F$20),$D$20*(100%-D34)+($F$20))</f>
        <v>0.38040000000000035</v>
      </c>
      <c r="J34" s="299">
        <v>0.96</v>
      </c>
      <c r="K34" s="141"/>
      <c r="L34" s="295">
        <f t="shared" ref="L34:L97" si="2">IF($D$19&gt;=$L$28,($L$28*(100%-J34))+(F$19),$D$19*(100%-J34)+$F$19)</f>
        <v>0.42360000000000037</v>
      </c>
      <c r="M34" s="294"/>
      <c r="N34" s="295">
        <f t="shared" ref="N34:N97" si="3">IF($D$20&gt;=$H$28,($H$28*(100%-J34))+($F$20),$D$20*(100%-J34)+($F$20))</f>
        <v>0.38040000000000035</v>
      </c>
      <c r="P34" s="244"/>
    </row>
    <row r="35" spans="1:23">
      <c r="A35" s="298">
        <v>24757</v>
      </c>
      <c r="B35" s="298">
        <v>26300</v>
      </c>
      <c r="D35" s="299">
        <v>0.96</v>
      </c>
      <c r="E35" s="140"/>
      <c r="F35" s="293">
        <f t="shared" si="0"/>
        <v>0.42360000000000037</v>
      </c>
      <c r="G35" s="292"/>
      <c r="H35" s="293">
        <f t="shared" si="1"/>
        <v>0.38040000000000035</v>
      </c>
      <c r="J35" s="299">
        <v>0.96</v>
      </c>
      <c r="K35" s="141"/>
      <c r="L35" s="295">
        <f t="shared" si="2"/>
        <v>0.42360000000000037</v>
      </c>
      <c r="M35" s="294"/>
      <c r="N35" s="295">
        <f t="shared" si="3"/>
        <v>0.38040000000000035</v>
      </c>
      <c r="P35" s="244"/>
      <c r="R35" s="104"/>
    </row>
    <row r="36" spans="1:23">
      <c r="A36" s="298">
        <v>26301</v>
      </c>
      <c r="B36" s="298">
        <v>27848</v>
      </c>
      <c r="D36" s="299">
        <v>0.96</v>
      </c>
      <c r="E36" s="140"/>
      <c r="F36" s="293">
        <f t="shared" si="0"/>
        <v>0.42360000000000037</v>
      </c>
      <c r="G36" s="292"/>
      <c r="H36" s="293">
        <f t="shared" si="1"/>
        <v>0.38040000000000035</v>
      </c>
      <c r="J36" s="299">
        <v>0.96</v>
      </c>
      <c r="K36" s="141"/>
      <c r="L36" s="295">
        <f t="shared" si="2"/>
        <v>0.42360000000000037</v>
      </c>
      <c r="M36" s="294"/>
      <c r="N36" s="295">
        <f t="shared" si="3"/>
        <v>0.38040000000000035</v>
      </c>
      <c r="P36" s="244"/>
    </row>
    <row r="37" spans="1:23">
      <c r="A37" s="298">
        <v>27849</v>
      </c>
      <c r="B37" s="298">
        <v>29392</v>
      </c>
      <c r="D37" s="299">
        <v>0.96</v>
      </c>
      <c r="E37" s="140"/>
      <c r="F37" s="293">
        <f t="shared" si="0"/>
        <v>0.42360000000000037</v>
      </c>
      <c r="G37" s="292"/>
      <c r="H37" s="293">
        <f t="shared" si="1"/>
        <v>0.38040000000000035</v>
      </c>
      <c r="J37" s="299">
        <v>0.96</v>
      </c>
      <c r="K37" s="141"/>
      <c r="L37" s="295">
        <f t="shared" si="2"/>
        <v>0.42360000000000037</v>
      </c>
      <c r="M37" s="294"/>
      <c r="N37" s="295">
        <f t="shared" si="3"/>
        <v>0.38040000000000035</v>
      </c>
      <c r="P37" s="244"/>
    </row>
    <row r="38" spans="1:23">
      <c r="A38" s="298">
        <v>29393</v>
      </c>
      <c r="B38" s="298">
        <v>30939</v>
      </c>
      <c r="D38" s="299">
        <v>0.96</v>
      </c>
      <c r="E38" s="140"/>
      <c r="F38" s="293">
        <f t="shared" si="0"/>
        <v>0.42360000000000037</v>
      </c>
      <c r="G38" s="292"/>
      <c r="H38" s="293">
        <f t="shared" si="1"/>
        <v>0.38040000000000035</v>
      </c>
      <c r="J38" s="299">
        <v>0.96</v>
      </c>
      <c r="K38" s="141"/>
      <c r="L38" s="295">
        <f t="shared" si="2"/>
        <v>0.42360000000000037</v>
      </c>
      <c r="M38" s="294"/>
      <c r="N38" s="295">
        <f t="shared" si="3"/>
        <v>0.38040000000000035</v>
      </c>
      <c r="P38" s="244"/>
    </row>
    <row r="39" spans="1:23">
      <c r="A39" s="298">
        <v>30940</v>
      </c>
      <c r="B39" s="298">
        <v>32483</v>
      </c>
      <c r="D39" s="299">
        <v>0.96</v>
      </c>
      <c r="E39" s="140"/>
      <c r="F39" s="293">
        <f t="shared" si="0"/>
        <v>0.42360000000000037</v>
      </c>
      <c r="G39" s="292"/>
      <c r="H39" s="293">
        <f t="shared" si="1"/>
        <v>0.38040000000000035</v>
      </c>
      <c r="J39" s="299">
        <v>0.96</v>
      </c>
      <c r="K39" s="141"/>
      <c r="L39" s="295">
        <f t="shared" si="2"/>
        <v>0.42360000000000037</v>
      </c>
      <c r="M39" s="294"/>
      <c r="N39" s="295">
        <f t="shared" si="3"/>
        <v>0.38040000000000035</v>
      </c>
      <c r="P39" s="244"/>
    </row>
    <row r="40" spans="1:23">
      <c r="A40" s="298">
        <v>32484</v>
      </c>
      <c r="B40" s="298">
        <v>34025</v>
      </c>
      <c r="D40" s="299">
        <v>0.96</v>
      </c>
      <c r="E40" s="140"/>
      <c r="F40" s="293">
        <f t="shared" si="0"/>
        <v>0.42360000000000037</v>
      </c>
      <c r="G40" s="292"/>
      <c r="H40" s="293">
        <f t="shared" si="1"/>
        <v>0.38040000000000035</v>
      </c>
      <c r="J40" s="299">
        <v>0.96</v>
      </c>
      <c r="K40" s="141"/>
      <c r="L40" s="295">
        <f t="shared" si="2"/>
        <v>0.42360000000000037</v>
      </c>
      <c r="M40" s="294"/>
      <c r="N40" s="295">
        <f t="shared" si="3"/>
        <v>0.38040000000000035</v>
      </c>
      <c r="P40" s="244"/>
    </row>
    <row r="41" spans="1:23">
      <c r="A41" s="298">
        <v>34026</v>
      </c>
      <c r="B41" s="298">
        <v>35687</v>
      </c>
      <c r="D41" s="299">
        <v>0.96</v>
      </c>
      <c r="E41" s="140"/>
      <c r="F41" s="293">
        <f t="shared" si="0"/>
        <v>0.42360000000000037</v>
      </c>
      <c r="G41" s="292"/>
      <c r="H41" s="293">
        <f t="shared" si="1"/>
        <v>0.38040000000000035</v>
      </c>
      <c r="J41" s="299">
        <v>0.96</v>
      </c>
      <c r="K41" s="141"/>
      <c r="L41" s="295">
        <f t="shared" si="2"/>
        <v>0.42360000000000037</v>
      </c>
      <c r="M41" s="294"/>
      <c r="N41" s="295">
        <f t="shared" si="3"/>
        <v>0.38040000000000035</v>
      </c>
      <c r="P41" s="244"/>
    </row>
    <row r="42" spans="1:23">
      <c r="A42" s="298">
        <v>35688</v>
      </c>
      <c r="B42" s="298">
        <v>37346</v>
      </c>
      <c r="D42" s="299">
        <v>0.96</v>
      </c>
      <c r="E42" s="140"/>
      <c r="F42" s="293">
        <f t="shared" si="0"/>
        <v>0.42360000000000037</v>
      </c>
      <c r="G42" s="292"/>
      <c r="H42" s="293">
        <f t="shared" si="1"/>
        <v>0.38040000000000035</v>
      </c>
      <c r="J42" s="299">
        <v>0.96</v>
      </c>
      <c r="K42" s="141"/>
      <c r="L42" s="295">
        <f t="shared" si="2"/>
        <v>0.42360000000000037</v>
      </c>
      <c r="M42" s="294"/>
      <c r="N42" s="295">
        <f t="shared" si="3"/>
        <v>0.38040000000000035</v>
      </c>
      <c r="P42" s="244"/>
    </row>
    <row r="43" spans="1:23">
      <c r="A43" s="298">
        <v>37347</v>
      </c>
      <c r="B43" s="298">
        <v>39010</v>
      </c>
      <c r="D43" s="299">
        <v>0.96</v>
      </c>
      <c r="E43" s="140"/>
      <c r="F43" s="293">
        <f t="shared" si="0"/>
        <v>0.42360000000000037</v>
      </c>
      <c r="G43" s="292"/>
      <c r="H43" s="293">
        <f t="shared" si="1"/>
        <v>0.38040000000000035</v>
      </c>
      <c r="J43" s="299">
        <v>0.96</v>
      </c>
      <c r="K43" s="141"/>
      <c r="L43" s="295">
        <f t="shared" si="2"/>
        <v>0.42360000000000037</v>
      </c>
      <c r="M43" s="294"/>
      <c r="N43" s="295">
        <f t="shared" si="3"/>
        <v>0.38040000000000035</v>
      </c>
      <c r="P43" s="244"/>
    </row>
    <row r="44" spans="1:23">
      <c r="A44" s="298">
        <v>39011</v>
      </c>
      <c r="B44" s="298">
        <v>40670</v>
      </c>
      <c r="D44" s="299">
        <v>0.96</v>
      </c>
      <c r="E44" s="140"/>
      <c r="F44" s="293">
        <f t="shared" si="0"/>
        <v>0.42360000000000037</v>
      </c>
      <c r="G44" s="292"/>
      <c r="H44" s="293">
        <f t="shared" si="1"/>
        <v>0.38040000000000035</v>
      </c>
      <c r="J44" s="299">
        <v>0.96</v>
      </c>
      <c r="K44" s="141"/>
      <c r="L44" s="295">
        <f t="shared" si="2"/>
        <v>0.42360000000000037</v>
      </c>
      <c r="M44" s="294"/>
      <c r="N44" s="295">
        <f t="shared" si="3"/>
        <v>0.38040000000000035</v>
      </c>
    </row>
    <row r="45" spans="1:23">
      <c r="A45" s="298">
        <v>40671</v>
      </c>
      <c r="B45" s="298">
        <v>42336</v>
      </c>
      <c r="D45" s="299">
        <v>0.96</v>
      </c>
      <c r="E45" s="140"/>
      <c r="F45" s="293">
        <f t="shared" si="0"/>
        <v>0.42360000000000037</v>
      </c>
      <c r="G45" s="292"/>
      <c r="H45" s="293">
        <f t="shared" si="1"/>
        <v>0.38040000000000035</v>
      </c>
      <c r="J45" s="299">
        <v>0.96</v>
      </c>
      <c r="K45" s="141"/>
      <c r="L45" s="295">
        <f t="shared" si="2"/>
        <v>0.42360000000000037</v>
      </c>
      <c r="M45" s="294"/>
      <c r="N45" s="295">
        <f t="shared" si="3"/>
        <v>0.38040000000000035</v>
      </c>
    </row>
    <row r="46" spans="1:23">
      <c r="A46" s="298">
        <v>42337</v>
      </c>
      <c r="B46" s="298">
        <v>43998</v>
      </c>
      <c r="D46" s="299">
        <v>0.96</v>
      </c>
      <c r="E46" s="140"/>
      <c r="F46" s="293">
        <f t="shared" si="0"/>
        <v>0.42360000000000037</v>
      </c>
      <c r="G46" s="292"/>
      <c r="H46" s="293">
        <f t="shared" si="1"/>
        <v>0.38040000000000035</v>
      </c>
      <c r="J46" s="299">
        <v>0.96</v>
      </c>
      <c r="K46" s="141"/>
      <c r="L46" s="295">
        <f t="shared" si="2"/>
        <v>0.42360000000000037</v>
      </c>
      <c r="M46" s="294"/>
      <c r="N46" s="295">
        <f t="shared" si="3"/>
        <v>0.38040000000000035</v>
      </c>
      <c r="V46" s="105"/>
      <c r="W46" s="244"/>
    </row>
    <row r="47" spans="1:23">
      <c r="A47" s="298">
        <v>43999</v>
      </c>
      <c r="B47" s="298">
        <v>45700</v>
      </c>
      <c r="D47" s="299">
        <v>0.96</v>
      </c>
      <c r="E47" s="140"/>
      <c r="F47" s="293">
        <f t="shared" si="0"/>
        <v>0.42360000000000037</v>
      </c>
      <c r="G47" s="292"/>
      <c r="H47" s="293">
        <f t="shared" si="1"/>
        <v>0.38040000000000035</v>
      </c>
      <c r="J47" s="299">
        <v>0.96</v>
      </c>
      <c r="K47" s="141"/>
      <c r="L47" s="295">
        <f t="shared" si="2"/>
        <v>0.42360000000000037</v>
      </c>
      <c r="M47" s="294"/>
      <c r="N47" s="295">
        <f t="shared" si="3"/>
        <v>0.38040000000000035</v>
      </c>
      <c r="V47" s="105"/>
    </row>
    <row r="48" spans="1:23">
      <c r="A48" s="298">
        <v>45701</v>
      </c>
      <c r="B48" s="298">
        <v>47403</v>
      </c>
      <c r="D48" s="299">
        <v>0.96</v>
      </c>
      <c r="E48" s="140"/>
      <c r="F48" s="293">
        <f t="shared" si="0"/>
        <v>0.42360000000000037</v>
      </c>
      <c r="G48" s="292"/>
      <c r="H48" s="293">
        <f t="shared" si="1"/>
        <v>0.38040000000000035</v>
      </c>
      <c r="J48" s="299">
        <v>0.96</v>
      </c>
      <c r="K48" s="141"/>
      <c r="L48" s="295">
        <f t="shared" si="2"/>
        <v>0.42360000000000037</v>
      </c>
      <c r="M48" s="294"/>
      <c r="N48" s="295">
        <f t="shared" si="3"/>
        <v>0.38040000000000035</v>
      </c>
      <c r="V48" s="105"/>
    </row>
    <row r="49" spans="1:14">
      <c r="A49" s="298">
        <v>47404</v>
      </c>
      <c r="B49" s="298">
        <v>49108</v>
      </c>
      <c r="D49" s="299">
        <v>0.95299999999999996</v>
      </c>
      <c r="E49" s="140"/>
      <c r="F49" s="293">
        <f t="shared" si="0"/>
        <v>0.49773000000000045</v>
      </c>
      <c r="G49" s="292"/>
      <c r="H49" s="293">
        <f t="shared" si="1"/>
        <v>0.44697000000000037</v>
      </c>
      <c r="J49" s="299">
        <v>0.95599999999999996</v>
      </c>
      <c r="K49" s="141"/>
      <c r="L49" s="295">
        <f t="shared" si="2"/>
        <v>0.46596000000000043</v>
      </c>
      <c r="M49" s="294"/>
      <c r="N49" s="295">
        <f t="shared" si="3"/>
        <v>0.41844000000000037</v>
      </c>
    </row>
    <row r="50" spans="1:14">
      <c r="A50" s="298">
        <v>49109</v>
      </c>
      <c r="B50" s="298">
        <v>50811</v>
      </c>
      <c r="D50" s="299">
        <v>0.94599999999999995</v>
      </c>
      <c r="E50" s="140"/>
      <c r="F50" s="293">
        <f t="shared" si="0"/>
        <v>0.57186000000000048</v>
      </c>
      <c r="G50" s="292"/>
      <c r="H50" s="293">
        <f t="shared" si="1"/>
        <v>0.51354000000000044</v>
      </c>
      <c r="J50" s="299">
        <v>0.95199999999999996</v>
      </c>
      <c r="K50" s="141"/>
      <c r="L50" s="295">
        <f t="shared" si="2"/>
        <v>0.50832000000000044</v>
      </c>
      <c r="M50" s="294"/>
      <c r="N50" s="295">
        <f t="shared" si="3"/>
        <v>0.45648000000000039</v>
      </c>
    </row>
    <row r="51" spans="1:14">
      <c r="A51" s="298">
        <v>50812</v>
      </c>
      <c r="B51" s="298">
        <v>52519</v>
      </c>
      <c r="D51" s="299">
        <v>0.93700000000000006</v>
      </c>
      <c r="E51" s="140"/>
      <c r="F51" s="293">
        <f t="shared" si="0"/>
        <v>0.66716999999999937</v>
      </c>
      <c r="G51" s="292"/>
      <c r="H51" s="293">
        <f t="shared" si="1"/>
        <v>0.5991299999999995</v>
      </c>
      <c r="J51" s="299">
        <v>0.94799999999999995</v>
      </c>
      <c r="K51" s="141"/>
      <c r="L51" s="295">
        <f t="shared" si="2"/>
        <v>0.5506800000000005</v>
      </c>
      <c r="M51" s="294"/>
      <c r="N51" s="295">
        <f t="shared" si="3"/>
        <v>0.4945200000000004</v>
      </c>
    </row>
    <row r="52" spans="1:14">
      <c r="A52" s="298">
        <v>52520</v>
      </c>
      <c r="B52" s="298">
        <v>54221</v>
      </c>
      <c r="D52" s="299">
        <v>0.93100000000000005</v>
      </c>
      <c r="E52" s="140"/>
      <c r="F52" s="293">
        <f t="shared" si="0"/>
        <v>0.73070999999999942</v>
      </c>
      <c r="G52" s="292"/>
      <c r="H52" s="293">
        <f t="shared" si="1"/>
        <v>0.6561899999999995</v>
      </c>
      <c r="J52" s="299">
        <v>0.94499999999999995</v>
      </c>
      <c r="K52" s="141"/>
      <c r="L52" s="295">
        <f t="shared" si="2"/>
        <v>0.58245000000000047</v>
      </c>
      <c r="M52" s="294"/>
      <c r="N52" s="295">
        <f t="shared" si="3"/>
        <v>0.52305000000000046</v>
      </c>
    </row>
    <row r="53" spans="1:14">
      <c r="A53" s="298">
        <v>54222</v>
      </c>
      <c r="B53" s="298">
        <v>55925</v>
      </c>
      <c r="D53" s="299">
        <v>0.92300000000000004</v>
      </c>
      <c r="E53" s="140"/>
      <c r="F53" s="293">
        <f t="shared" si="0"/>
        <v>0.81542999999999954</v>
      </c>
      <c r="G53" s="292"/>
      <c r="H53" s="293">
        <f t="shared" si="1"/>
        <v>0.73226999999999953</v>
      </c>
      <c r="J53" s="299">
        <v>0.94499999999999995</v>
      </c>
      <c r="K53" s="141"/>
      <c r="L53" s="295">
        <f t="shared" si="2"/>
        <v>0.58245000000000047</v>
      </c>
      <c r="M53" s="294"/>
      <c r="N53" s="295">
        <f t="shared" si="3"/>
        <v>0.52305000000000046</v>
      </c>
    </row>
    <row r="54" spans="1:14">
      <c r="A54" s="298">
        <v>55926</v>
      </c>
      <c r="B54" s="298">
        <v>57629</v>
      </c>
      <c r="D54" s="299">
        <v>0.91600000000000004</v>
      </c>
      <c r="E54" s="140"/>
      <c r="F54" s="293">
        <f t="shared" si="0"/>
        <v>0.88955999999999957</v>
      </c>
      <c r="G54" s="292"/>
      <c r="H54" s="293">
        <f t="shared" si="1"/>
        <v>0.79883999999999966</v>
      </c>
      <c r="J54" s="299">
        <v>0.94499999999999995</v>
      </c>
      <c r="K54" s="141"/>
      <c r="L54" s="295">
        <f t="shared" si="2"/>
        <v>0.58245000000000047</v>
      </c>
      <c r="M54" s="294"/>
      <c r="N54" s="295">
        <f t="shared" si="3"/>
        <v>0.52305000000000046</v>
      </c>
    </row>
    <row r="55" spans="1:14">
      <c r="A55" s="298">
        <v>57630</v>
      </c>
      <c r="B55" s="298">
        <v>59492</v>
      </c>
      <c r="D55" s="299">
        <v>0.90700000000000003</v>
      </c>
      <c r="E55" s="140"/>
      <c r="F55" s="293">
        <f t="shared" si="0"/>
        <v>0.98486999999999969</v>
      </c>
      <c r="G55" s="292"/>
      <c r="H55" s="293">
        <f t="shared" si="1"/>
        <v>0.88442999999999972</v>
      </c>
      <c r="J55" s="299">
        <v>0.94499999999999995</v>
      </c>
      <c r="K55" s="141"/>
      <c r="L55" s="295">
        <f t="shared" si="2"/>
        <v>0.58245000000000047</v>
      </c>
      <c r="M55" s="294"/>
      <c r="N55" s="295">
        <f t="shared" si="3"/>
        <v>0.52305000000000046</v>
      </c>
    </row>
    <row r="56" spans="1:14">
      <c r="A56" s="298">
        <v>59493</v>
      </c>
      <c r="B56" s="298">
        <v>63144</v>
      </c>
      <c r="D56" s="299">
        <v>0.89200000000000002</v>
      </c>
      <c r="E56" s="140"/>
      <c r="F56" s="293">
        <f t="shared" si="0"/>
        <v>1.1437199999999998</v>
      </c>
      <c r="G56" s="292"/>
      <c r="H56" s="293">
        <f t="shared" si="1"/>
        <v>1.0270799999999998</v>
      </c>
      <c r="J56" s="299">
        <v>0.94499999999999995</v>
      </c>
      <c r="K56" s="141"/>
      <c r="L56" s="295">
        <f t="shared" si="2"/>
        <v>0.58245000000000047</v>
      </c>
      <c r="M56" s="294"/>
      <c r="N56" s="295">
        <f t="shared" si="3"/>
        <v>0.52305000000000046</v>
      </c>
    </row>
    <row r="57" spans="1:14">
      <c r="A57" s="298">
        <v>63145</v>
      </c>
      <c r="B57" s="298">
        <v>66794</v>
      </c>
      <c r="D57" s="299">
        <v>0.88400000000000001</v>
      </c>
      <c r="E57" s="140"/>
      <c r="F57" s="293">
        <f t="shared" si="0"/>
        <v>1.22844</v>
      </c>
      <c r="G57" s="292"/>
      <c r="H57" s="293">
        <f t="shared" si="1"/>
        <v>1.1031599999999999</v>
      </c>
      <c r="J57" s="299">
        <v>0.94099999999999995</v>
      </c>
      <c r="K57" s="141"/>
      <c r="L57" s="295">
        <f t="shared" si="2"/>
        <v>0.62481000000000053</v>
      </c>
      <c r="M57" s="294"/>
      <c r="N57" s="295">
        <f t="shared" si="3"/>
        <v>0.56109000000000053</v>
      </c>
    </row>
    <row r="58" spans="1:14">
      <c r="A58" s="298">
        <v>66795</v>
      </c>
      <c r="B58" s="298">
        <v>70446</v>
      </c>
      <c r="D58" s="299">
        <v>0.873</v>
      </c>
      <c r="E58" s="140"/>
      <c r="F58" s="293">
        <f t="shared" si="0"/>
        <v>1.34493</v>
      </c>
      <c r="G58" s="292"/>
      <c r="H58" s="293">
        <f t="shared" si="1"/>
        <v>1.20777</v>
      </c>
      <c r="J58" s="299">
        <v>0.93500000000000005</v>
      </c>
      <c r="K58" s="141"/>
      <c r="L58" s="295">
        <f t="shared" si="2"/>
        <v>0.68834999999999946</v>
      </c>
      <c r="M58" s="294"/>
      <c r="N58" s="295">
        <f t="shared" si="3"/>
        <v>0.61814999999999953</v>
      </c>
    </row>
    <row r="59" spans="1:14">
      <c r="A59" s="298">
        <v>70447</v>
      </c>
      <c r="B59" s="298">
        <v>74100</v>
      </c>
      <c r="D59" s="299">
        <v>0.85</v>
      </c>
      <c r="E59" s="140"/>
      <c r="F59" s="293">
        <f t="shared" si="0"/>
        <v>1.5885000000000002</v>
      </c>
      <c r="G59" s="292"/>
      <c r="H59" s="293">
        <f t="shared" si="1"/>
        <v>1.4265000000000001</v>
      </c>
      <c r="J59" s="299">
        <v>0.93100000000000005</v>
      </c>
      <c r="K59" s="141"/>
      <c r="L59" s="295">
        <f t="shared" si="2"/>
        <v>0.73070999999999942</v>
      </c>
      <c r="M59" s="294"/>
      <c r="N59" s="295">
        <f t="shared" si="3"/>
        <v>0.6561899999999995</v>
      </c>
    </row>
    <row r="60" spans="1:14">
      <c r="A60" s="298">
        <v>74101</v>
      </c>
      <c r="B60" s="298">
        <v>77750</v>
      </c>
      <c r="D60" s="299">
        <v>0.82699999999999996</v>
      </c>
      <c r="E60" s="140"/>
      <c r="F60" s="293">
        <f t="shared" si="0"/>
        <v>1.8320700000000005</v>
      </c>
      <c r="G60" s="292"/>
      <c r="H60" s="293">
        <f t="shared" si="1"/>
        <v>1.6452300000000004</v>
      </c>
      <c r="J60" s="299">
        <v>0.92800000000000005</v>
      </c>
      <c r="K60" s="141"/>
      <c r="L60" s="295">
        <f t="shared" si="2"/>
        <v>0.76247999999999949</v>
      </c>
      <c r="M60" s="294"/>
      <c r="N60" s="295">
        <f t="shared" si="3"/>
        <v>0.68471999999999955</v>
      </c>
    </row>
    <row r="61" spans="1:14">
      <c r="A61" s="298">
        <v>77751</v>
      </c>
      <c r="B61" s="298">
        <v>81404</v>
      </c>
      <c r="D61" s="299">
        <v>0.80500000000000005</v>
      </c>
      <c r="E61" s="140"/>
      <c r="F61" s="293">
        <f t="shared" si="0"/>
        <v>2.0650499999999994</v>
      </c>
      <c r="G61" s="292"/>
      <c r="H61" s="293">
        <f t="shared" si="1"/>
        <v>1.8544499999999995</v>
      </c>
      <c r="J61" s="299">
        <v>0.92100000000000004</v>
      </c>
      <c r="K61" s="141"/>
      <c r="L61" s="295">
        <f t="shared" si="2"/>
        <v>0.83660999999999952</v>
      </c>
      <c r="M61" s="294"/>
      <c r="N61" s="295">
        <f t="shared" si="3"/>
        <v>0.75128999999999957</v>
      </c>
    </row>
    <row r="62" spans="1:14">
      <c r="A62" s="298">
        <v>81405</v>
      </c>
      <c r="B62" s="298">
        <v>85055</v>
      </c>
      <c r="D62" s="299">
        <v>0.78</v>
      </c>
      <c r="E62" s="140"/>
      <c r="F62" s="293">
        <f t="shared" si="0"/>
        <v>2.3297999999999996</v>
      </c>
      <c r="G62" s="292"/>
      <c r="H62" s="293">
        <f t="shared" si="1"/>
        <v>2.0921999999999996</v>
      </c>
      <c r="J62" s="299">
        <v>0.91600000000000004</v>
      </c>
      <c r="K62" s="141"/>
      <c r="L62" s="295">
        <f t="shared" si="2"/>
        <v>0.88955999999999957</v>
      </c>
      <c r="M62" s="294"/>
      <c r="N62" s="295">
        <f t="shared" si="3"/>
        <v>0.79883999999999966</v>
      </c>
    </row>
    <row r="63" spans="1:14">
      <c r="A63" s="298">
        <v>85056</v>
      </c>
      <c r="B63" s="298">
        <v>88707</v>
      </c>
      <c r="D63" s="299">
        <v>0.75700000000000001</v>
      </c>
      <c r="E63" s="140"/>
      <c r="F63" s="293">
        <f t="shared" si="0"/>
        <v>2.5733699999999997</v>
      </c>
      <c r="G63" s="292"/>
      <c r="H63" s="293">
        <f t="shared" si="1"/>
        <v>2.3109299999999999</v>
      </c>
      <c r="J63" s="299">
        <v>0.91100000000000003</v>
      </c>
      <c r="K63" s="141"/>
      <c r="L63" s="295">
        <f t="shared" si="2"/>
        <v>0.94250999999999963</v>
      </c>
      <c r="M63" s="294"/>
      <c r="N63" s="295">
        <f t="shared" si="3"/>
        <v>0.84638999999999964</v>
      </c>
    </row>
    <row r="64" spans="1:14">
      <c r="A64" s="298">
        <v>88708</v>
      </c>
      <c r="B64" s="298">
        <v>92360</v>
      </c>
      <c r="D64" s="299">
        <v>0.73499999999999999</v>
      </c>
      <c r="E64" s="140"/>
      <c r="F64" s="293">
        <f t="shared" si="0"/>
        <v>2.8063500000000001</v>
      </c>
      <c r="G64" s="292"/>
      <c r="H64" s="293">
        <f t="shared" si="1"/>
        <v>2.5201500000000001</v>
      </c>
      <c r="J64" s="299">
        <v>0.90400000000000003</v>
      </c>
      <c r="K64" s="141"/>
      <c r="L64" s="295">
        <f t="shared" si="2"/>
        <v>1.0166399999999998</v>
      </c>
      <c r="M64" s="294"/>
      <c r="N64" s="295">
        <f t="shared" si="3"/>
        <v>0.91295999999999977</v>
      </c>
    </row>
    <row r="65" spans="1:15">
      <c r="A65" s="298">
        <v>92361</v>
      </c>
      <c r="B65" s="298">
        <v>96010</v>
      </c>
      <c r="D65" s="299">
        <v>0.71099999999999997</v>
      </c>
      <c r="E65" s="140"/>
      <c r="F65" s="293">
        <f t="shared" si="0"/>
        <v>3.0605100000000003</v>
      </c>
      <c r="G65" s="292"/>
      <c r="H65" s="293">
        <f t="shared" si="1"/>
        <v>2.7483900000000001</v>
      </c>
      <c r="J65" s="299">
        <v>0.89800000000000002</v>
      </c>
      <c r="K65" s="141"/>
      <c r="L65" s="295">
        <f t="shared" si="2"/>
        <v>1.0801799999999997</v>
      </c>
      <c r="M65" s="294"/>
      <c r="N65" s="295">
        <f t="shared" si="3"/>
        <v>0.97001999999999977</v>
      </c>
    </row>
    <row r="66" spans="1:15">
      <c r="A66" s="298">
        <v>96011</v>
      </c>
      <c r="B66" s="298">
        <v>99667</v>
      </c>
      <c r="D66" s="299">
        <v>0.68899999999999995</v>
      </c>
      <c r="E66" s="140"/>
      <c r="F66" s="293">
        <f t="shared" si="0"/>
        <v>3.2934900000000007</v>
      </c>
      <c r="G66" s="292"/>
      <c r="H66" s="293">
        <f t="shared" si="1"/>
        <v>2.9576100000000003</v>
      </c>
      <c r="J66" s="299">
        <v>0.89400000000000002</v>
      </c>
      <c r="K66" s="141"/>
      <c r="L66" s="295">
        <f t="shared" si="2"/>
        <v>1.1225399999999999</v>
      </c>
      <c r="M66" s="294"/>
      <c r="N66" s="295">
        <f t="shared" si="3"/>
        <v>1.0080599999999997</v>
      </c>
    </row>
    <row r="67" spans="1:15">
      <c r="A67" s="298">
        <v>99668</v>
      </c>
      <c r="B67" s="298">
        <v>103318</v>
      </c>
      <c r="D67" s="299">
        <v>0.66400000000000003</v>
      </c>
      <c r="E67" s="140"/>
      <c r="F67" s="293">
        <f t="shared" si="0"/>
        <v>3.5582399999999996</v>
      </c>
      <c r="G67" s="292"/>
      <c r="H67" s="293">
        <f t="shared" si="1"/>
        <v>3.1953599999999995</v>
      </c>
      <c r="J67" s="299">
        <v>0.89100000000000001</v>
      </c>
      <c r="K67" s="141"/>
      <c r="L67" s="295">
        <f t="shared" si="2"/>
        <v>1.1543099999999997</v>
      </c>
      <c r="M67" s="294"/>
      <c r="N67" s="295">
        <f t="shared" si="3"/>
        <v>1.0365899999999999</v>
      </c>
    </row>
    <row r="68" spans="1:15">
      <c r="A68" s="298">
        <v>103319</v>
      </c>
      <c r="B68" s="298">
        <v>106968</v>
      </c>
      <c r="D68" s="299">
        <v>0.64100000000000001</v>
      </c>
      <c r="E68" s="140"/>
      <c r="F68" s="293">
        <f t="shared" si="0"/>
        <v>3.8018099999999997</v>
      </c>
      <c r="G68" s="292"/>
      <c r="H68" s="293">
        <f t="shared" si="1"/>
        <v>3.4140899999999998</v>
      </c>
      <c r="J68" s="299">
        <v>0.88400000000000001</v>
      </c>
      <c r="K68" s="141"/>
      <c r="L68" s="295">
        <f t="shared" si="2"/>
        <v>1.22844</v>
      </c>
      <c r="M68" s="294"/>
      <c r="N68" s="295">
        <f t="shared" si="3"/>
        <v>1.1031599999999999</v>
      </c>
    </row>
    <row r="69" spans="1:15">
      <c r="A69" s="298">
        <v>106969</v>
      </c>
      <c r="B69" s="298">
        <v>110621</v>
      </c>
      <c r="D69" s="299">
        <v>0.61899999999999999</v>
      </c>
      <c r="E69" s="140"/>
      <c r="F69" s="293">
        <f t="shared" si="0"/>
        <v>4.0347900000000001</v>
      </c>
      <c r="G69" s="292"/>
      <c r="H69" s="293">
        <f t="shared" si="1"/>
        <v>3.62331</v>
      </c>
      <c r="J69" s="299">
        <v>0.88</v>
      </c>
      <c r="K69" s="141"/>
      <c r="L69" s="295">
        <f t="shared" si="2"/>
        <v>1.2707999999999999</v>
      </c>
      <c r="M69" s="294"/>
      <c r="N69" s="295">
        <f t="shared" si="3"/>
        <v>1.1412</v>
      </c>
    </row>
    <row r="70" spans="1:15">
      <c r="A70" s="298">
        <v>110622</v>
      </c>
      <c r="B70" s="298">
        <v>114344</v>
      </c>
      <c r="D70" s="299">
        <v>0.59499999999999997</v>
      </c>
      <c r="E70" s="140"/>
      <c r="F70" s="293">
        <f t="shared" si="0"/>
        <v>4.2889499999999998</v>
      </c>
      <c r="G70" s="292"/>
      <c r="H70" s="293">
        <f t="shared" si="1"/>
        <v>3.85155</v>
      </c>
      <c r="J70" s="299">
        <v>0.875</v>
      </c>
      <c r="K70" s="141"/>
      <c r="L70" s="295">
        <f t="shared" si="2"/>
        <v>1.32375</v>
      </c>
      <c r="M70" s="294"/>
      <c r="N70" s="295">
        <f t="shared" si="3"/>
        <v>1.18875</v>
      </c>
    </row>
    <row r="71" spans="1:15">
      <c r="A71" s="298">
        <v>114345</v>
      </c>
      <c r="B71" s="298">
        <v>118086</v>
      </c>
      <c r="D71" s="299">
        <v>0.57399999999999995</v>
      </c>
      <c r="E71" s="140"/>
      <c r="F71" s="293">
        <f t="shared" si="0"/>
        <v>4.5113400000000006</v>
      </c>
      <c r="G71" s="292"/>
      <c r="H71" s="293">
        <f t="shared" si="1"/>
        <v>4.0512600000000001</v>
      </c>
      <c r="J71" s="299">
        <v>0.86799999999999999</v>
      </c>
      <c r="K71" s="141"/>
      <c r="L71" s="295">
        <f t="shared" si="2"/>
        <v>1.39788</v>
      </c>
      <c r="M71" s="294"/>
      <c r="N71" s="295">
        <f t="shared" si="3"/>
        <v>1.25532</v>
      </c>
    </row>
    <row r="72" spans="1:15">
      <c r="A72" s="298">
        <v>118087</v>
      </c>
      <c r="B72" s="298">
        <v>121825</v>
      </c>
      <c r="D72" s="299">
        <v>0.55300000000000005</v>
      </c>
      <c r="E72" s="140"/>
      <c r="F72" s="293">
        <f t="shared" si="0"/>
        <v>4.7337299999999995</v>
      </c>
      <c r="G72" s="292"/>
      <c r="H72" s="293">
        <f t="shared" si="1"/>
        <v>4.2509699999999997</v>
      </c>
      <c r="J72" s="299">
        <v>0.86299999999999999</v>
      </c>
      <c r="K72" s="141"/>
      <c r="L72" s="295">
        <f t="shared" si="2"/>
        <v>1.4508300000000001</v>
      </c>
      <c r="M72" s="294"/>
      <c r="N72" s="295">
        <f t="shared" si="3"/>
        <v>1.30287</v>
      </c>
    </row>
    <row r="73" spans="1:15">
      <c r="A73" s="298">
        <v>121826</v>
      </c>
      <c r="B73" s="298">
        <v>125565</v>
      </c>
      <c r="D73" s="299">
        <v>0.53200000000000003</v>
      </c>
      <c r="E73" s="140"/>
      <c r="F73" s="293">
        <f t="shared" si="0"/>
        <v>4.9561199999999994</v>
      </c>
      <c r="G73" s="292"/>
      <c r="H73" s="293">
        <f t="shared" si="1"/>
        <v>4.4506799999999993</v>
      </c>
      <c r="J73" s="299">
        <v>0.85899999999999999</v>
      </c>
      <c r="K73" s="141"/>
      <c r="L73" s="295">
        <f t="shared" si="2"/>
        <v>1.4931900000000002</v>
      </c>
      <c r="M73" s="294"/>
      <c r="N73" s="295">
        <f t="shared" si="3"/>
        <v>1.34091</v>
      </c>
    </row>
    <row r="74" spans="1:15">
      <c r="A74" s="298">
        <v>125566</v>
      </c>
      <c r="B74" s="298">
        <v>129303</v>
      </c>
      <c r="D74" s="299">
        <v>0.51</v>
      </c>
      <c r="E74" s="140"/>
      <c r="F74" s="293">
        <f t="shared" si="0"/>
        <v>5.1890999999999998</v>
      </c>
      <c r="G74" s="292"/>
      <c r="H74" s="293">
        <f t="shared" si="1"/>
        <v>4.6598999999999995</v>
      </c>
      <c r="J74" s="299">
        <v>0.85599999999999998</v>
      </c>
      <c r="K74" s="141"/>
      <c r="L74" s="295">
        <f t="shared" si="2"/>
        <v>1.5249600000000001</v>
      </c>
      <c r="M74" s="294"/>
      <c r="N74" s="295">
        <f t="shared" si="3"/>
        <v>1.3694400000000002</v>
      </c>
    </row>
    <row r="75" spans="1:15">
      <c r="A75" s="298">
        <v>129304</v>
      </c>
      <c r="B75" s="298">
        <v>133045</v>
      </c>
      <c r="D75" s="299">
        <v>0.49099999999999999</v>
      </c>
      <c r="E75" s="140"/>
      <c r="F75" s="293">
        <f t="shared" si="0"/>
        <v>5.3903100000000004</v>
      </c>
      <c r="G75" s="292"/>
      <c r="H75" s="293">
        <f t="shared" si="1"/>
        <v>4.8405899999999997</v>
      </c>
      <c r="J75" s="299">
        <v>0.84899999999999998</v>
      </c>
      <c r="K75" s="141"/>
      <c r="L75" s="295">
        <f t="shared" si="2"/>
        <v>1.5990900000000001</v>
      </c>
      <c r="M75" s="294"/>
      <c r="N75" s="295">
        <f t="shared" si="3"/>
        <v>1.4360100000000002</v>
      </c>
    </row>
    <row r="76" spans="1:15">
      <c r="A76" s="298">
        <v>133046</v>
      </c>
      <c r="B76" s="298">
        <v>136786</v>
      </c>
      <c r="D76" s="299">
        <v>0.47199999999999998</v>
      </c>
      <c r="E76" s="140"/>
      <c r="F76" s="293">
        <f t="shared" si="0"/>
        <v>5.59152</v>
      </c>
      <c r="G76" s="292"/>
      <c r="H76" s="293">
        <f t="shared" si="1"/>
        <v>5.02128</v>
      </c>
      <c r="J76" s="299">
        <v>0.84299999999999997</v>
      </c>
      <c r="K76" s="141"/>
      <c r="L76" s="295">
        <f t="shared" si="2"/>
        <v>1.6626300000000003</v>
      </c>
      <c r="M76" s="294"/>
      <c r="N76" s="295">
        <f t="shared" si="3"/>
        <v>1.4930700000000003</v>
      </c>
    </row>
    <row r="77" spans="1:15">
      <c r="A77" s="298">
        <v>136787</v>
      </c>
      <c r="B77" s="298">
        <v>140528</v>
      </c>
      <c r="D77" s="299">
        <v>0.45300000000000001</v>
      </c>
      <c r="E77" s="140"/>
      <c r="F77" s="293">
        <f t="shared" si="0"/>
        <v>5.7927299999999988</v>
      </c>
      <c r="G77" s="292"/>
      <c r="H77" s="293">
        <f t="shared" si="1"/>
        <v>5.2019699999999993</v>
      </c>
      <c r="J77" s="299">
        <v>0.83899999999999997</v>
      </c>
      <c r="K77" s="141"/>
      <c r="L77" s="295">
        <f t="shared" si="2"/>
        <v>1.7049900000000002</v>
      </c>
      <c r="M77" s="294"/>
      <c r="N77" s="295">
        <f t="shared" si="3"/>
        <v>1.5311100000000002</v>
      </c>
    </row>
    <row r="78" spans="1:15">
      <c r="A78" s="298">
        <v>140529</v>
      </c>
      <c r="B78" s="298">
        <v>144264</v>
      </c>
      <c r="D78" s="299">
        <v>0.433</v>
      </c>
      <c r="E78" s="140"/>
      <c r="F78" s="293">
        <f t="shared" si="0"/>
        <v>6.004529999999999</v>
      </c>
      <c r="G78" s="292"/>
      <c r="H78" s="293">
        <f t="shared" si="1"/>
        <v>5.3921699999999992</v>
      </c>
      <c r="J78" s="299">
        <v>0.83299999999999996</v>
      </c>
      <c r="K78" s="141"/>
      <c r="L78" s="295">
        <f t="shared" si="2"/>
        <v>1.7685300000000004</v>
      </c>
      <c r="M78" s="294"/>
      <c r="N78" s="295">
        <f t="shared" si="3"/>
        <v>1.5881700000000003</v>
      </c>
      <c r="O78" s="106"/>
    </row>
    <row r="79" spans="1:15">
      <c r="A79" s="298">
        <v>144265</v>
      </c>
      <c r="B79" s="298">
        <v>148003</v>
      </c>
      <c r="D79" s="299">
        <v>0.41299999999999998</v>
      </c>
      <c r="E79" s="140"/>
      <c r="F79" s="293">
        <f t="shared" si="0"/>
        <v>6.2163299999999992</v>
      </c>
      <c r="G79" s="292"/>
      <c r="H79" s="293">
        <f t="shared" si="1"/>
        <v>5.5823699999999992</v>
      </c>
      <c r="J79" s="299">
        <v>0.82899999999999996</v>
      </c>
      <c r="K79" s="141"/>
      <c r="L79" s="295">
        <f t="shared" si="2"/>
        <v>1.8108900000000003</v>
      </c>
      <c r="M79" s="294"/>
      <c r="N79" s="295">
        <f t="shared" si="3"/>
        <v>1.6262100000000004</v>
      </c>
    </row>
    <row r="80" spans="1:15">
      <c r="A80" s="298">
        <v>148004</v>
      </c>
      <c r="B80" s="298">
        <v>151746</v>
      </c>
      <c r="D80" s="299">
        <v>0.39300000000000002</v>
      </c>
      <c r="E80" s="140"/>
      <c r="F80" s="293">
        <f t="shared" si="0"/>
        <v>6.4281299999999995</v>
      </c>
      <c r="G80" s="292"/>
      <c r="H80" s="293">
        <f t="shared" si="1"/>
        <v>5.77257</v>
      </c>
      <c r="J80" s="299">
        <v>0.82199999999999995</v>
      </c>
      <c r="K80" s="141"/>
      <c r="L80" s="295">
        <f t="shared" si="2"/>
        <v>1.8850200000000006</v>
      </c>
      <c r="M80" s="294"/>
      <c r="N80" s="295">
        <f t="shared" si="3"/>
        <v>1.6927800000000004</v>
      </c>
    </row>
    <row r="81" spans="1:14">
      <c r="A81" s="298">
        <v>151747</v>
      </c>
      <c r="B81" s="298">
        <v>155484</v>
      </c>
      <c r="D81" s="299">
        <v>0.373</v>
      </c>
      <c r="E81" s="140"/>
      <c r="F81" s="293">
        <f t="shared" si="0"/>
        <v>6.6399299999999997</v>
      </c>
      <c r="G81" s="292"/>
      <c r="H81" s="293">
        <f t="shared" si="1"/>
        <v>5.9627699999999999</v>
      </c>
      <c r="J81" s="299">
        <v>0.81599999999999995</v>
      </c>
      <c r="K81" s="141"/>
      <c r="L81" s="295">
        <f t="shared" si="2"/>
        <v>1.9485600000000005</v>
      </c>
      <c r="M81" s="294"/>
      <c r="N81" s="295">
        <f t="shared" si="3"/>
        <v>1.7498400000000005</v>
      </c>
    </row>
    <row r="82" spans="1:14">
      <c r="A82" s="298">
        <v>155485</v>
      </c>
      <c r="B82" s="298">
        <v>159224</v>
      </c>
      <c r="D82" s="299">
        <v>0.35299999999999998</v>
      </c>
      <c r="E82" s="140"/>
      <c r="F82" s="293">
        <f t="shared" si="0"/>
        <v>6.8517299999999999</v>
      </c>
      <c r="G82" s="292"/>
      <c r="H82" s="293">
        <f t="shared" si="1"/>
        <v>6.1529699999999998</v>
      </c>
      <c r="J82" s="299">
        <v>0.80600000000000005</v>
      </c>
      <c r="K82" s="141"/>
      <c r="L82" s="295">
        <f t="shared" si="2"/>
        <v>2.0544599999999993</v>
      </c>
      <c r="M82" s="294"/>
      <c r="N82" s="295">
        <f t="shared" si="3"/>
        <v>1.8449399999999996</v>
      </c>
    </row>
    <row r="83" spans="1:14">
      <c r="A83" s="298">
        <v>159225</v>
      </c>
      <c r="B83" s="298">
        <v>162963</v>
      </c>
      <c r="D83" s="299">
        <v>0.33300000000000002</v>
      </c>
      <c r="E83" s="140"/>
      <c r="F83" s="293">
        <f t="shared" si="0"/>
        <v>7.0635300000000001</v>
      </c>
      <c r="G83" s="292"/>
      <c r="H83" s="293">
        <f t="shared" si="1"/>
        <v>6.3431700000000006</v>
      </c>
      <c r="J83" s="299">
        <v>0.80300000000000005</v>
      </c>
      <c r="K83" s="141"/>
      <c r="L83" s="295">
        <f t="shared" si="2"/>
        <v>2.0862299999999996</v>
      </c>
      <c r="M83" s="294"/>
      <c r="N83" s="295">
        <f t="shared" si="3"/>
        <v>1.8734699999999995</v>
      </c>
    </row>
    <row r="84" spans="1:14">
      <c r="A84" s="298">
        <v>162964</v>
      </c>
      <c r="B84" s="298">
        <v>166705</v>
      </c>
      <c r="D84" s="299">
        <v>0.33300000000000002</v>
      </c>
      <c r="E84" s="140"/>
      <c r="F84" s="293">
        <f t="shared" si="0"/>
        <v>7.0635300000000001</v>
      </c>
      <c r="G84" s="292"/>
      <c r="H84" s="293">
        <f t="shared" si="1"/>
        <v>6.3431700000000006</v>
      </c>
      <c r="J84" s="299">
        <v>0.79500000000000004</v>
      </c>
      <c r="K84" s="141"/>
      <c r="L84" s="295">
        <f t="shared" si="2"/>
        <v>2.1709499999999995</v>
      </c>
      <c r="M84" s="294"/>
      <c r="N84" s="295">
        <f t="shared" si="3"/>
        <v>1.9495499999999997</v>
      </c>
    </row>
    <row r="85" spans="1:14">
      <c r="A85" s="298">
        <v>166706</v>
      </c>
      <c r="B85" s="298">
        <v>170449</v>
      </c>
      <c r="D85" s="299">
        <v>0.33300000000000002</v>
      </c>
      <c r="E85" s="140"/>
      <c r="F85" s="293">
        <f t="shared" si="0"/>
        <v>7.0635300000000001</v>
      </c>
      <c r="G85" s="292"/>
      <c r="H85" s="293">
        <f t="shared" si="1"/>
        <v>6.3431700000000006</v>
      </c>
      <c r="J85" s="299">
        <v>0.78600000000000003</v>
      </c>
      <c r="K85" s="141"/>
      <c r="L85" s="295">
        <f t="shared" si="2"/>
        <v>2.2662599999999995</v>
      </c>
      <c r="M85" s="294"/>
      <c r="N85" s="295">
        <f t="shared" si="3"/>
        <v>2.0351399999999997</v>
      </c>
    </row>
    <row r="86" spans="1:14">
      <c r="A86" s="298">
        <v>170450</v>
      </c>
      <c r="B86" s="298">
        <v>174186</v>
      </c>
      <c r="D86" s="299">
        <v>0.33300000000000002</v>
      </c>
      <c r="E86" s="140"/>
      <c r="F86" s="293">
        <f t="shared" si="0"/>
        <v>7.0635300000000001</v>
      </c>
      <c r="G86" s="292"/>
      <c r="H86" s="293">
        <f t="shared" si="1"/>
        <v>6.3431700000000006</v>
      </c>
      <c r="J86" s="299">
        <v>0.78</v>
      </c>
      <c r="K86" s="141"/>
      <c r="L86" s="295">
        <f t="shared" si="2"/>
        <v>2.3297999999999996</v>
      </c>
      <c r="M86" s="294"/>
      <c r="N86" s="295">
        <f t="shared" si="3"/>
        <v>2.0921999999999996</v>
      </c>
    </row>
    <row r="87" spans="1:14">
      <c r="A87" s="298">
        <v>174187</v>
      </c>
      <c r="B87" s="298">
        <v>177926</v>
      </c>
      <c r="D87" s="299">
        <v>0.33300000000000002</v>
      </c>
      <c r="E87" s="140"/>
      <c r="F87" s="293">
        <f t="shared" si="0"/>
        <v>7.0635300000000001</v>
      </c>
      <c r="G87" s="292"/>
      <c r="H87" s="293">
        <f t="shared" si="1"/>
        <v>6.3431700000000006</v>
      </c>
      <c r="J87" s="299">
        <v>0.77100000000000002</v>
      </c>
      <c r="K87" s="141"/>
      <c r="L87" s="295">
        <f t="shared" si="2"/>
        <v>2.4251099999999997</v>
      </c>
      <c r="M87" s="294"/>
      <c r="N87" s="295">
        <f t="shared" si="3"/>
        <v>2.1777899999999999</v>
      </c>
    </row>
    <row r="88" spans="1:14">
      <c r="A88" s="298">
        <v>177927</v>
      </c>
      <c r="B88" s="298">
        <v>181663</v>
      </c>
      <c r="D88" s="299">
        <v>0.33300000000000002</v>
      </c>
      <c r="E88" s="140"/>
      <c r="F88" s="293">
        <f t="shared" si="0"/>
        <v>7.0635300000000001</v>
      </c>
      <c r="G88" s="292"/>
      <c r="H88" s="293">
        <f t="shared" si="1"/>
        <v>6.3431700000000006</v>
      </c>
      <c r="J88" s="299">
        <v>0.76600000000000001</v>
      </c>
      <c r="K88" s="141"/>
      <c r="L88" s="295">
        <f t="shared" si="2"/>
        <v>2.4780599999999997</v>
      </c>
      <c r="M88" s="294"/>
      <c r="N88" s="295">
        <f t="shared" si="3"/>
        <v>2.2253399999999997</v>
      </c>
    </row>
    <row r="89" spans="1:14">
      <c r="A89" s="298">
        <v>181664</v>
      </c>
      <c r="B89" s="298">
        <v>185406</v>
      </c>
      <c r="D89" s="299">
        <v>0.33300000000000002</v>
      </c>
      <c r="E89" s="140"/>
      <c r="F89" s="293">
        <f t="shared" si="0"/>
        <v>7.0635300000000001</v>
      </c>
      <c r="G89" s="292"/>
      <c r="H89" s="293">
        <f t="shared" si="1"/>
        <v>6.3431700000000006</v>
      </c>
      <c r="J89" s="299">
        <v>0.75800000000000001</v>
      </c>
      <c r="K89" s="141"/>
      <c r="L89" s="295">
        <f t="shared" si="2"/>
        <v>2.5627800000000001</v>
      </c>
      <c r="M89" s="294"/>
      <c r="N89" s="295">
        <f t="shared" si="3"/>
        <v>2.3014199999999998</v>
      </c>
    </row>
    <row r="90" spans="1:14">
      <c r="A90" s="298">
        <v>185407</v>
      </c>
      <c r="B90" s="298">
        <v>189147</v>
      </c>
      <c r="D90" s="299">
        <v>0.33300000000000002</v>
      </c>
      <c r="E90" s="140"/>
      <c r="F90" s="293">
        <f t="shared" si="0"/>
        <v>7.0635300000000001</v>
      </c>
      <c r="G90" s="292"/>
      <c r="H90" s="293">
        <f t="shared" si="1"/>
        <v>6.3431700000000006</v>
      </c>
      <c r="J90" s="299">
        <v>0.751</v>
      </c>
      <c r="K90" s="141"/>
      <c r="L90" s="295">
        <f t="shared" si="2"/>
        <v>2.6369099999999999</v>
      </c>
      <c r="M90" s="294"/>
      <c r="N90" s="295">
        <f t="shared" si="3"/>
        <v>2.3679899999999998</v>
      </c>
    </row>
    <row r="91" spans="1:14">
      <c r="A91" s="298">
        <v>189148</v>
      </c>
      <c r="B91" s="298">
        <v>192888</v>
      </c>
      <c r="D91" s="299">
        <v>0.33300000000000002</v>
      </c>
      <c r="E91" s="140"/>
      <c r="F91" s="293">
        <f t="shared" si="0"/>
        <v>7.0635300000000001</v>
      </c>
      <c r="G91" s="292"/>
      <c r="H91" s="293">
        <f t="shared" si="1"/>
        <v>6.3431700000000006</v>
      </c>
      <c r="J91" s="299">
        <v>0.74399999999999999</v>
      </c>
      <c r="K91" s="141"/>
      <c r="L91" s="295">
        <f t="shared" si="2"/>
        <v>2.7110400000000001</v>
      </c>
      <c r="M91" s="294"/>
      <c r="N91" s="295">
        <f t="shared" si="3"/>
        <v>2.4345599999999998</v>
      </c>
    </row>
    <row r="92" spans="1:14">
      <c r="A92" s="298">
        <v>192889</v>
      </c>
      <c r="B92" s="298">
        <v>196627</v>
      </c>
      <c r="D92" s="299">
        <v>0.33300000000000002</v>
      </c>
      <c r="E92" s="140"/>
      <c r="F92" s="293">
        <f t="shared" si="0"/>
        <v>7.0635300000000001</v>
      </c>
      <c r="G92" s="292"/>
      <c r="H92" s="293">
        <f t="shared" si="1"/>
        <v>6.3431700000000006</v>
      </c>
      <c r="J92" s="299">
        <v>0.73399999999999999</v>
      </c>
      <c r="K92" s="141"/>
      <c r="L92" s="295">
        <f t="shared" si="2"/>
        <v>2.8169400000000002</v>
      </c>
      <c r="M92" s="294"/>
      <c r="N92" s="295">
        <f t="shared" si="3"/>
        <v>2.5296600000000002</v>
      </c>
    </row>
    <row r="93" spans="1:14">
      <c r="A93" s="298">
        <v>196628</v>
      </c>
      <c r="B93" s="298">
        <v>200363</v>
      </c>
      <c r="D93" s="299">
        <v>0.33300000000000002</v>
      </c>
      <c r="E93" s="140"/>
      <c r="F93" s="293">
        <f t="shared" si="0"/>
        <v>7.0635300000000001</v>
      </c>
      <c r="G93" s="292"/>
      <c r="H93" s="293">
        <f t="shared" si="1"/>
        <v>6.3431700000000006</v>
      </c>
      <c r="J93" s="299">
        <v>0.72899999999999998</v>
      </c>
      <c r="K93" s="141"/>
      <c r="L93" s="295">
        <f t="shared" si="2"/>
        <v>2.8698900000000003</v>
      </c>
      <c r="M93" s="294"/>
      <c r="N93" s="295">
        <f t="shared" si="3"/>
        <v>2.57721</v>
      </c>
    </row>
    <row r="94" spans="1:14">
      <c r="A94" s="298">
        <v>200364</v>
      </c>
      <c r="B94" s="298">
        <v>204107</v>
      </c>
      <c r="D94" s="299">
        <v>0.33300000000000002</v>
      </c>
      <c r="E94" s="140"/>
      <c r="F94" s="293">
        <f t="shared" si="0"/>
        <v>7.0635300000000001</v>
      </c>
      <c r="G94" s="292"/>
      <c r="H94" s="293">
        <f t="shared" si="1"/>
        <v>6.3431700000000006</v>
      </c>
      <c r="J94" s="299">
        <v>0.72199999999999998</v>
      </c>
      <c r="K94" s="141"/>
      <c r="L94" s="295">
        <f t="shared" si="2"/>
        <v>2.9440200000000001</v>
      </c>
      <c r="M94" s="294"/>
      <c r="N94" s="295">
        <f t="shared" si="3"/>
        <v>2.64378</v>
      </c>
    </row>
    <row r="95" spans="1:14">
      <c r="A95" s="298">
        <v>204108</v>
      </c>
      <c r="B95" s="298">
        <v>207845</v>
      </c>
      <c r="D95" s="299">
        <v>0.33300000000000002</v>
      </c>
      <c r="E95" s="140"/>
      <c r="F95" s="293">
        <f t="shared" si="0"/>
        <v>7.0635300000000001</v>
      </c>
      <c r="G95" s="292"/>
      <c r="H95" s="293">
        <f t="shared" si="1"/>
        <v>6.3431700000000006</v>
      </c>
      <c r="J95" s="299">
        <v>0.71399999999999997</v>
      </c>
      <c r="K95" s="141"/>
      <c r="L95" s="295">
        <f t="shared" si="2"/>
        <v>3.0287400000000004</v>
      </c>
      <c r="M95" s="294"/>
      <c r="N95" s="295">
        <f t="shared" si="3"/>
        <v>2.7198600000000002</v>
      </c>
    </row>
    <row r="96" spans="1:14">
      <c r="A96" s="298">
        <v>207846</v>
      </c>
      <c r="B96" s="298">
        <v>211586</v>
      </c>
      <c r="D96" s="299">
        <v>0.33300000000000002</v>
      </c>
      <c r="E96" s="140"/>
      <c r="F96" s="293">
        <f t="shared" si="0"/>
        <v>7.0635300000000001</v>
      </c>
      <c r="G96" s="292"/>
      <c r="H96" s="293">
        <f t="shared" si="1"/>
        <v>6.3431700000000006</v>
      </c>
      <c r="J96" s="299">
        <v>0.70699999999999996</v>
      </c>
      <c r="K96" s="141"/>
      <c r="L96" s="295">
        <f t="shared" si="2"/>
        <v>3.1028700000000002</v>
      </c>
      <c r="M96" s="294"/>
      <c r="N96" s="295">
        <f t="shared" si="3"/>
        <v>2.7864300000000002</v>
      </c>
    </row>
    <row r="97" spans="1:14">
      <c r="A97" s="298">
        <v>211587</v>
      </c>
      <c r="B97" s="298">
        <v>215327</v>
      </c>
      <c r="D97" s="299">
        <v>0.33300000000000002</v>
      </c>
      <c r="E97" s="140"/>
      <c r="F97" s="293">
        <f t="shared" si="0"/>
        <v>7.0635300000000001</v>
      </c>
      <c r="G97" s="292"/>
      <c r="H97" s="293">
        <f t="shared" si="1"/>
        <v>6.3431700000000006</v>
      </c>
      <c r="J97" s="299">
        <v>0.70099999999999996</v>
      </c>
      <c r="K97" s="141"/>
      <c r="L97" s="295">
        <f t="shared" si="2"/>
        <v>3.1664100000000004</v>
      </c>
      <c r="M97" s="294"/>
      <c r="N97" s="295">
        <f t="shared" si="3"/>
        <v>2.8434900000000005</v>
      </c>
    </row>
    <row r="98" spans="1:14">
      <c r="A98" s="298">
        <v>215328</v>
      </c>
      <c r="B98" s="298">
        <v>219065</v>
      </c>
      <c r="D98" s="299">
        <v>0.33300000000000002</v>
      </c>
      <c r="E98" s="140"/>
      <c r="F98" s="293">
        <f t="shared" ref="F98:F101" si="4">IF($D$19&gt;=$F$28,($F$28*(100%-D98))+($F$19),$D$19*(100%-D98)+$F$19)</f>
        <v>7.0635300000000001</v>
      </c>
      <c r="G98" s="292"/>
      <c r="H98" s="293">
        <f t="shared" ref="H98:H101" si="5">IF($D$20&gt;=$H$28,($H$28*(100%-D98))+($F$20),$D$20*(100%-D98)+($F$20))</f>
        <v>6.3431700000000006</v>
      </c>
      <c r="J98" s="299">
        <v>0.69299999999999995</v>
      </c>
      <c r="K98" s="141"/>
      <c r="L98" s="295">
        <f t="shared" ref="L98:L101" si="6">IF($D$19&gt;=$L$28,($L$28*(100%-J98))+(F$19),$D$19*(100%-J98)+$F$19)</f>
        <v>3.2511300000000003</v>
      </c>
      <c r="M98" s="294"/>
      <c r="N98" s="295">
        <f t="shared" ref="N98:N101" si="7">IF($D$20&gt;=$H$28,($H$28*(100%-J98))+($F$20),$D$20*(100%-J98)+($F$20))</f>
        <v>2.9195700000000002</v>
      </c>
    </row>
    <row r="99" spans="1:14">
      <c r="A99" s="298">
        <v>219066</v>
      </c>
      <c r="B99" s="298">
        <v>222806</v>
      </c>
      <c r="D99" s="299">
        <v>0.33300000000000002</v>
      </c>
      <c r="E99" s="140"/>
      <c r="F99" s="293">
        <f t="shared" si="4"/>
        <v>7.0635300000000001</v>
      </c>
      <c r="G99" s="292"/>
      <c r="H99" s="293">
        <f t="shared" si="5"/>
        <v>6.3431700000000006</v>
      </c>
      <c r="J99" s="299">
        <v>0.68500000000000005</v>
      </c>
      <c r="K99" s="141"/>
      <c r="L99" s="295">
        <f t="shared" si="6"/>
        <v>3.3358499999999993</v>
      </c>
      <c r="M99" s="294"/>
      <c r="N99" s="295">
        <f t="shared" si="7"/>
        <v>2.9956499999999995</v>
      </c>
    </row>
    <row r="100" spans="1:14">
      <c r="A100" s="298">
        <v>222807</v>
      </c>
      <c r="B100" s="298">
        <v>226545</v>
      </c>
      <c r="D100" s="299">
        <v>0.33300000000000002</v>
      </c>
      <c r="E100" s="140"/>
      <c r="F100" s="293">
        <f t="shared" si="4"/>
        <v>7.0635300000000001</v>
      </c>
      <c r="G100" s="292"/>
      <c r="H100" s="293">
        <f t="shared" si="5"/>
        <v>6.3431700000000006</v>
      </c>
      <c r="J100" s="299">
        <v>0.68</v>
      </c>
      <c r="K100" s="141"/>
      <c r="L100" s="295">
        <f t="shared" si="6"/>
        <v>3.3887999999999994</v>
      </c>
      <c r="M100" s="294"/>
      <c r="N100" s="295">
        <f t="shared" si="7"/>
        <v>3.0431999999999997</v>
      </c>
    </row>
    <row r="101" spans="1:14">
      <c r="A101" s="298">
        <v>226546</v>
      </c>
      <c r="B101" s="297" t="s">
        <v>75</v>
      </c>
      <c r="D101" s="299">
        <v>0.33300000000000002</v>
      </c>
      <c r="E101" s="140"/>
      <c r="F101" s="293">
        <f t="shared" si="4"/>
        <v>7.0635300000000001</v>
      </c>
      <c r="G101" s="292"/>
      <c r="H101" s="293">
        <f t="shared" si="5"/>
        <v>6.3431700000000006</v>
      </c>
      <c r="J101" s="299">
        <v>0.67100000000000004</v>
      </c>
      <c r="K101" s="141"/>
      <c r="L101" s="295">
        <f t="shared" si="6"/>
        <v>3.4841099999999994</v>
      </c>
      <c r="M101" s="294"/>
      <c r="N101" s="295">
        <f t="shared" si="7"/>
        <v>3.1287899999999995</v>
      </c>
    </row>
    <row r="103" spans="1:14">
      <c r="F103" s="80">
        <f>SUM(F33:F101)</f>
        <v>253.39752000000021</v>
      </c>
      <c r="H103" s="80">
        <f>SUM(H33:H101)</f>
        <v>227.55527999999981</v>
      </c>
      <c r="J103" s="80"/>
      <c r="L103" s="80">
        <f>SUM(L33:L101)</f>
        <v>98.243429999999975</v>
      </c>
      <c r="N103" s="80">
        <f>SUM(N33:N101)</f>
        <v>88.224270000000004</v>
      </c>
    </row>
    <row r="104" spans="1:14">
      <c r="A104" s="321">
        <f>+SUM(A33:B101)+SUM(D33:D101)+SUM(J33:J101)</f>
        <v>14882092.795</v>
      </c>
      <c r="B104" s="321"/>
    </row>
    <row r="105" spans="1:14">
      <c r="A105" s="107"/>
    </row>
    <row r="106" spans="1:14">
      <c r="A106" s="107"/>
    </row>
    <row r="110" spans="1:14" ht="15.75">
      <c r="A110" s="136"/>
      <c r="B110" s="137"/>
      <c r="C110" s="135"/>
      <c r="D110" s="135"/>
    </row>
    <row r="111" spans="1:14" ht="15.75">
      <c r="A111" s="137"/>
      <c r="B111" s="137"/>
      <c r="C111" s="135"/>
      <c r="D111" s="135"/>
    </row>
    <row r="112" spans="1:14" ht="15.75">
      <c r="A112" s="137"/>
      <c r="B112" s="137"/>
      <c r="C112" s="135"/>
      <c r="D112" s="135"/>
    </row>
    <row r="113" spans="1:10" ht="15.75">
      <c r="A113" s="137"/>
      <c r="B113" s="137"/>
      <c r="C113" s="135"/>
      <c r="D113" s="135"/>
    </row>
    <row r="114" spans="1:10" ht="15.75">
      <c r="A114" s="137"/>
      <c r="B114" s="137"/>
      <c r="C114" s="135"/>
      <c r="D114" s="135"/>
    </row>
    <row r="115" spans="1:10" ht="15.75">
      <c r="A115" s="137"/>
      <c r="B115" s="137"/>
      <c r="C115" s="135"/>
      <c r="D115" s="135"/>
      <c r="F115"/>
      <c r="H115"/>
      <c r="J115"/>
    </row>
    <row r="116" spans="1:10" ht="15.75">
      <c r="A116" s="137"/>
      <c r="B116" s="137"/>
      <c r="C116" s="135"/>
      <c r="D116" s="135"/>
      <c r="F116"/>
      <c r="H116"/>
      <c r="J116"/>
    </row>
    <row r="117" spans="1:10" ht="15.75">
      <c r="A117" s="137"/>
      <c r="B117" s="137"/>
      <c r="C117" s="135"/>
      <c r="D117" s="135"/>
      <c r="F117"/>
      <c r="H117"/>
      <c r="J117"/>
    </row>
    <row r="118" spans="1:10" ht="15.75">
      <c r="A118" s="137"/>
      <c r="B118" s="137"/>
      <c r="C118" s="135"/>
      <c r="D118" s="135"/>
      <c r="F118"/>
      <c r="H118"/>
      <c r="J118"/>
    </row>
    <row r="119" spans="1:10" ht="15.75">
      <c r="A119" s="137"/>
      <c r="B119" s="137"/>
      <c r="C119" s="135"/>
      <c r="D119" s="135"/>
      <c r="F119"/>
      <c r="H119"/>
      <c r="J119"/>
    </row>
    <row r="120" spans="1:10" ht="15.75">
      <c r="A120" s="137"/>
      <c r="B120" s="137"/>
      <c r="C120" s="135"/>
      <c r="D120" s="135"/>
      <c r="F120"/>
      <c r="H120"/>
      <c r="J120"/>
    </row>
    <row r="121" spans="1:10" ht="15.75">
      <c r="A121" s="137"/>
      <c r="B121" s="137"/>
      <c r="C121" s="135"/>
      <c r="D121" s="135"/>
      <c r="F121"/>
      <c r="H121"/>
      <c r="J121"/>
    </row>
    <row r="122" spans="1:10" ht="15.75">
      <c r="A122" s="137"/>
      <c r="B122" s="137"/>
      <c r="C122" s="135"/>
      <c r="D122" s="135"/>
      <c r="F122"/>
      <c r="H122"/>
      <c r="J122"/>
    </row>
    <row r="123" spans="1:10" ht="15.75">
      <c r="A123" s="137"/>
      <c r="B123" s="137"/>
      <c r="C123" s="135"/>
      <c r="D123" s="135"/>
      <c r="F123"/>
      <c r="H123"/>
      <c r="J123"/>
    </row>
    <row r="124" spans="1:10" ht="15.75">
      <c r="A124" s="137"/>
      <c r="B124" s="137"/>
      <c r="C124" s="135"/>
      <c r="D124" s="135"/>
      <c r="F124"/>
      <c r="H124"/>
      <c r="J124"/>
    </row>
    <row r="125" spans="1:10" ht="15.75">
      <c r="A125" s="137"/>
      <c r="B125" s="137"/>
      <c r="C125" s="135"/>
      <c r="D125" s="135"/>
      <c r="F125"/>
      <c r="H125"/>
      <c r="J125"/>
    </row>
    <row r="126" spans="1:10" ht="15.75">
      <c r="A126" s="137"/>
      <c r="B126" s="137"/>
      <c r="C126" s="135"/>
      <c r="D126" s="135"/>
      <c r="F126"/>
      <c r="H126"/>
      <c r="J126"/>
    </row>
    <row r="127" spans="1:10" ht="15.75">
      <c r="A127" s="137"/>
      <c r="B127" s="137"/>
      <c r="C127" s="135"/>
      <c r="D127" s="135"/>
      <c r="F127"/>
      <c r="H127"/>
      <c r="J127"/>
    </row>
    <row r="128" spans="1:10" ht="15.75">
      <c r="A128" s="137"/>
      <c r="B128" s="137"/>
      <c r="C128" s="135"/>
      <c r="D128" s="135"/>
      <c r="F128"/>
      <c r="H128"/>
      <c r="J128"/>
    </row>
    <row r="129" spans="1:10" ht="15.75">
      <c r="A129" s="137"/>
      <c r="B129" s="137"/>
      <c r="C129" s="135"/>
      <c r="D129" s="135"/>
      <c r="F129"/>
      <c r="H129"/>
      <c r="J129"/>
    </row>
    <row r="130" spans="1:10" ht="15.75">
      <c r="A130" s="137"/>
      <c r="B130" s="137"/>
      <c r="C130" s="135"/>
      <c r="D130" s="135"/>
      <c r="F130"/>
      <c r="H130"/>
      <c r="J130"/>
    </row>
    <row r="131" spans="1:10" ht="15.75">
      <c r="A131" s="137"/>
      <c r="B131" s="137"/>
      <c r="C131" s="135"/>
      <c r="D131" s="135"/>
      <c r="F131"/>
      <c r="H131"/>
      <c r="J131"/>
    </row>
    <row r="132" spans="1:10" ht="15.75">
      <c r="A132" s="137"/>
      <c r="B132" s="137"/>
      <c r="C132" s="135"/>
      <c r="D132" s="135"/>
      <c r="F132"/>
      <c r="H132"/>
      <c r="J132"/>
    </row>
    <row r="133" spans="1:10" ht="15.75">
      <c r="A133" s="137"/>
      <c r="B133" s="137"/>
      <c r="C133" s="135"/>
      <c r="D133" s="135"/>
      <c r="F133"/>
      <c r="H133"/>
      <c r="J133"/>
    </row>
    <row r="134" spans="1:10" ht="15.75">
      <c r="A134" s="137"/>
      <c r="B134" s="137"/>
      <c r="C134" s="135"/>
      <c r="D134" s="135"/>
      <c r="F134"/>
      <c r="H134"/>
      <c r="J134"/>
    </row>
    <row r="135" spans="1:10" ht="15.75">
      <c r="A135" s="137"/>
      <c r="B135" s="137"/>
      <c r="C135" s="135"/>
      <c r="D135" s="135"/>
      <c r="F135"/>
      <c r="H135"/>
      <c r="J135"/>
    </row>
    <row r="136" spans="1:10" ht="15.75">
      <c r="A136" s="137"/>
      <c r="B136" s="137"/>
      <c r="C136" s="135"/>
      <c r="D136" s="135"/>
      <c r="F136"/>
      <c r="H136"/>
      <c r="J136"/>
    </row>
    <row r="137" spans="1:10" ht="15.75">
      <c r="A137" s="137"/>
      <c r="B137" s="137"/>
      <c r="C137" s="135"/>
      <c r="D137" s="135"/>
      <c r="F137"/>
      <c r="H137"/>
      <c r="J137"/>
    </row>
    <row r="138" spans="1:10" ht="15.75">
      <c r="A138" s="137"/>
      <c r="B138" s="137"/>
      <c r="C138" s="135"/>
      <c r="D138" s="135"/>
      <c r="F138"/>
      <c r="H138"/>
      <c r="J138"/>
    </row>
    <row r="139" spans="1:10" ht="15.75">
      <c r="A139" s="137"/>
      <c r="B139" s="137"/>
      <c r="C139" s="135"/>
      <c r="D139" s="135"/>
      <c r="F139"/>
      <c r="H139"/>
      <c r="J139"/>
    </row>
    <row r="140" spans="1:10" ht="15.75">
      <c r="A140" s="137"/>
      <c r="B140" s="137"/>
      <c r="C140" s="135"/>
      <c r="D140" s="135"/>
      <c r="F140"/>
      <c r="H140"/>
      <c r="J140"/>
    </row>
    <row r="141" spans="1:10" ht="15.75">
      <c r="A141" s="137"/>
      <c r="B141" s="137"/>
      <c r="C141" s="135"/>
      <c r="D141" s="135"/>
      <c r="F141"/>
      <c r="H141"/>
      <c r="J141"/>
    </row>
    <row r="142" spans="1:10" ht="15.75">
      <c r="A142" s="137"/>
      <c r="B142" s="137"/>
      <c r="C142" s="135"/>
      <c r="D142" s="135"/>
      <c r="F142"/>
      <c r="H142"/>
      <c r="J142"/>
    </row>
    <row r="143" spans="1:10" ht="15.75">
      <c r="A143" s="137"/>
      <c r="B143" s="137"/>
      <c r="C143" s="135"/>
      <c r="D143" s="135"/>
      <c r="F143"/>
      <c r="H143"/>
      <c r="J143"/>
    </row>
    <row r="144" spans="1:10" ht="15.75">
      <c r="A144" s="137"/>
      <c r="B144" s="137"/>
      <c r="C144" s="135"/>
      <c r="D144" s="135"/>
      <c r="F144"/>
      <c r="H144"/>
      <c r="J144"/>
    </row>
    <row r="145" spans="1:10" ht="15.75">
      <c r="A145" s="137"/>
      <c r="B145" s="137"/>
      <c r="C145" s="135"/>
      <c r="D145" s="135"/>
      <c r="F145"/>
      <c r="H145"/>
      <c r="J145"/>
    </row>
    <row r="146" spans="1:10" ht="15.75">
      <c r="A146" s="137"/>
      <c r="B146" s="137"/>
      <c r="C146" s="135"/>
      <c r="D146" s="135"/>
      <c r="F146"/>
      <c r="H146"/>
      <c r="J146"/>
    </row>
    <row r="147" spans="1:10" ht="15.75">
      <c r="A147" s="137"/>
      <c r="B147" s="137"/>
      <c r="C147" s="135"/>
      <c r="D147" s="135"/>
      <c r="F147"/>
      <c r="H147"/>
      <c r="J147"/>
    </row>
    <row r="148" spans="1:10" ht="15.75">
      <c r="A148" s="137"/>
      <c r="B148" s="137"/>
      <c r="C148" s="135"/>
      <c r="D148" s="135"/>
      <c r="F148"/>
      <c r="H148"/>
      <c r="J148"/>
    </row>
    <row r="149" spans="1:10" ht="15.75">
      <c r="A149" s="137"/>
      <c r="B149" s="137"/>
      <c r="C149" s="135"/>
      <c r="D149" s="135"/>
      <c r="F149"/>
      <c r="H149"/>
      <c r="J149"/>
    </row>
    <row r="150" spans="1:10" ht="15.75">
      <c r="A150" s="138"/>
      <c r="B150" s="139"/>
      <c r="C150" s="135"/>
      <c r="D150" s="135"/>
      <c r="F150"/>
      <c r="H150"/>
      <c r="J150"/>
    </row>
    <row r="151" spans="1:10" ht="15.75">
      <c r="A151" s="139"/>
      <c r="B151" s="139"/>
      <c r="C151" s="135"/>
      <c r="D151" s="135"/>
      <c r="F151"/>
      <c r="H151"/>
      <c r="J151"/>
    </row>
    <row r="152" spans="1:10" ht="15.75">
      <c r="A152" s="139"/>
      <c r="B152" s="139"/>
      <c r="C152" s="135"/>
      <c r="D152" s="135"/>
      <c r="F152"/>
      <c r="H152"/>
      <c r="J152"/>
    </row>
    <row r="153" spans="1:10" ht="15.75">
      <c r="A153" s="139"/>
      <c r="B153" s="139"/>
      <c r="C153" s="135"/>
      <c r="D153" s="135"/>
      <c r="F153"/>
      <c r="H153"/>
      <c r="J153"/>
    </row>
    <row r="154" spans="1:10" ht="15.75">
      <c r="A154" s="139"/>
      <c r="B154" s="139"/>
      <c r="C154" s="135"/>
      <c r="D154" s="135"/>
      <c r="F154"/>
      <c r="H154"/>
      <c r="J154"/>
    </row>
    <row r="155" spans="1:10" ht="15.75">
      <c r="A155" s="139"/>
      <c r="B155" s="139"/>
      <c r="C155" s="135"/>
      <c r="D155" s="135"/>
      <c r="F155"/>
      <c r="H155"/>
      <c r="J155"/>
    </row>
    <row r="156" spans="1:10" ht="15.75">
      <c r="A156" s="139"/>
      <c r="B156" s="139"/>
      <c r="C156" s="135"/>
      <c r="D156" s="135"/>
      <c r="F156"/>
      <c r="H156"/>
      <c r="J156"/>
    </row>
    <row r="157" spans="1:10" ht="15.75">
      <c r="A157" s="139"/>
      <c r="B157" s="139"/>
      <c r="C157" s="135"/>
      <c r="D157" s="135"/>
      <c r="F157"/>
      <c r="H157"/>
      <c r="J157"/>
    </row>
    <row r="158" spans="1:10" ht="15.75">
      <c r="A158" s="139"/>
      <c r="B158" s="139"/>
      <c r="C158" s="135"/>
      <c r="D158" s="135"/>
      <c r="F158"/>
      <c r="H158"/>
      <c r="J158"/>
    </row>
    <row r="159" spans="1:10" ht="15.75">
      <c r="A159" s="139"/>
      <c r="B159" s="139"/>
      <c r="C159" s="135"/>
      <c r="D159" s="135"/>
      <c r="F159"/>
      <c r="H159"/>
      <c r="J159"/>
    </row>
    <row r="160" spans="1:10" ht="15.75">
      <c r="A160" s="139"/>
      <c r="B160" s="139"/>
      <c r="C160" s="135"/>
      <c r="D160" s="135"/>
      <c r="F160"/>
      <c r="H160"/>
      <c r="J160"/>
    </row>
    <row r="161" spans="1:10" ht="15.75">
      <c r="A161" s="139"/>
      <c r="B161" s="139"/>
      <c r="C161" s="135"/>
      <c r="D161" s="135"/>
      <c r="F161"/>
      <c r="H161"/>
      <c r="J161"/>
    </row>
    <row r="162" spans="1:10" ht="15.75">
      <c r="A162" s="139"/>
      <c r="B162" s="139"/>
      <c r="C162" s="135"/>
      <c r="D162" s="135"/>
      <c r="F162"/>
      <c r="H162"/>
      <c r="J162"/>
    </row>
    <row r="163" spans="1:10" ht="15.75">
      <c r="A163" s="139"/>
      <c r="B163" s="139"/>
      <c r="C163" s="135"/>
      <c r="D163" s="135"/>
      <c r="F163"/>
      <c r="H163"/>
      <c r="J163"/>
    </row>
    <row r="164" spans="1:10" ht="15.75">
      <c r="A164" s="139"/>
      <c r="B164" s="139"/>
      <c r="C164" s="135"/>
      <c r="D164" s="135"/>
      <c r="F164"/>
      <c r="H164"/>
      <c r="J164"/>
    </row>
    <row r="165" spans="1:10" ht="15.75">
      <c r="A165" s="139"/>
      <c r="B165" s="139"/>
      <c r="C165" s="135"/>
      <c r="D165" s="135"/>
      <c r="F165"/>
      <c r="H165"/>
      <c r="J165"/>
    </row>
    <row r="166" spans="1:10" ht="15.75">
      <c r="A166" s="139"/>
      <c r="B166" s="139"/>
      <c r="C166" s="135"/>
      <c r="D166" s="135"/>
      <c r="F166"/>
      <c r="H166"/>
      <c r="J166"/>
    </row>
    <row r="167" spans="1:10" ht="15.75">
      <c r="A167" s="139"/>
      <c r="B167" s="138"/>
      <c r="C167" s="135"/>
      <c r="D167" s="135"/>
      <c r="F167"/>
      <c r="H167"/>
      <c r="J167"/>
    </row>
    <row r="168" spans="1:10" ht="15.75">
      <c r="A168" s="139"/>
      <c r="B168" s="139"/>
      <c r="C168" s="135"/>
      <c r="D168" s="135"/>
      <c r="F168"/>
      <c r="H168"/>
      <c r="J168"/>
    </row>
    <row r="169" spans="1:10" ht="15.75">
      <c r="A169" s="139"/>
      <c r="B169" s="139"/>
      <c r="C169" s="135"/>
      <c r="D169" s="135"/>
      <c r="F169"/>
      <c r="H169"/>
      <c r="J169"/>
    </row>
    <row r="170" spans="1:10" ht="15.75">
      <c r="A170" s="139"/>
      <c r="B170" s="139"/>
      <c r="C170" s="135"/>
      <c r="D170" s="135"/>
      <c r="F170"/>
      <c r="H170"/>
      <c r="J170"/>
    </row>
    <row r="171" spans="1:10" ht="15.75">
      <c r="A171" s="139"/>
      <c r="B171" s="139"/>
      <c r="C171" s="135"/>
      <c r="D171" s="135"/>
      <c r="F171"/>
      <c r="H171"/>
      <c r="J171"/>
    </row>
    <row r="172" spans="1:10" ht="15.75">
      <c r="A172" s="139"/>
      <c r="B172" s="139"/>
      <c r="C172" s="135"/>
      <c r="D172" s="135"/>
      <c r="F172"/>
      <c r="H172"/>
      <c r="J172"/>
    </row>
    <row r="173" spans="1:10" ht="15.75">
      <c r="A173" s="139"/>
      <c r="B173" s="139"/>
      <c r="C173" s="135"/>
      <c r="D173" s="135"/>
      <c r="F173"/>
      <c r="H173"/>
      <c r="J173"/>
    </row>
    <row r="174" spans="1:10" ht="15.75">
      <c r="A174" s="139"/>
      <c r="B174" s="139"/>
      <c r="C174" s="135"/>
      <c r="D174" s="135"/>
      <c r="F174"/>
      <c r="H174"/>
      <c r="J174"/>
    </row>
    <row r="175" spans="1:10" ht="15.75">
      <c r="A175" s="139"/>
      <c r="B175" s="139"/>
      <c r="C175" s="135"/>
      <c r="D175" s="135"/>
      <c r="F175"/>
      <c r="H175"/>
      <c r="J175"/>
    </row>
    <row r="176" spans="1:10" ht="15.75">
      <c r="A176" s="139"/>
      <c r="B176" s="139"/>
      <c r="C176" s="135"/>
      <c r="D176" s="135"/>
      <c r="F176"/>
      <c r="H176"/>
      <c r="J176"/>
    </row>
    <row r="177" spans="1:10" ht="15.75">
      <c r="A177" s="139"/>
      <c r="B177" s="139"/>
      <c r="C177" s="135"/>
      <c r="D177" s="135"/>
      <c r="F177"/>
      <c r="H177"/>
      <c r="J177"/>
    </row>
    <row r="178" spans="1:10" ht="15.75">
      <c r="A178" s="139"/>
      <c r="B178" s="136"/>
      <c r="C178" s="135"/>
      <c r="D178" s="135"/>
      <c r="F178"/>
      <c r="H178"/>
      <c r="J178"/>
    </row>
  </sheetData>
  <mergeCells count="4">
    <mergeCell ref="A24:B24"/>
    <mergeCell ref="D24:H24"/>
    <mergeCell ref="J24:N24"/>
    <mergeCell ref="A104:B10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78"/>
  <sheetViews>
    <sheetView topLeftCell="A4" workbookViewId="0">
      <pane ySplit="13" topLeftCell="A83" activePane="bottomLeft" state="frozen"/>
      <selection pane="bottomLeft" activeCell="F101" sqref="F101"/>
      <selection activeCell="F19" sqref="F19:F20"/>
    </sheetView>
  </sheetViews>
  <sheetFormatPr defaultColWidth="9.140625" defaultRowHeight="12.75"/>
  <cols>
    <col min="1" max="2" width="12" style="78" customWidth="1"/>
    <col min="3" max="3" width="2.7109375" customWidth="1"/>
    <col min="4" max="4" width="12" style="79" customWidth="1"/>
    <col min="5" max="5" width="2.7109375" customWidth="1"/>
    <col min="6" max="6" width="12" style="80" customWidth="1"/>
    <col min="7" max="7" width="2.7109375" customWidth="1"/>
    <col min="8" max="8" width="12" style="80" customWidth="1"/>
    <col min="9" max="9" width="16.7109375" bestFit="1" customWidth="1"/>
    <col min="10" max="10" width="12" style="79" customWidth="1"/>
    <col min="11" max="11" width="2.7109375" customWidth="1"/>
    <col min="12" max="12" width="12" customWidth="1"/>
    <col min="13" max="13" width="2.7109375" customWidth="1"/>
    <col min="14" max="14" width="12" customWidth="1"/>
    <col min="17" max="17" width="10.7109375" customWidth="1"/>
  </cols>
  <sheetData>
    <row r="1" spans="1:2" customFormat="1" ht="19.5">
      <c r="A1" s="75" t="s">
        <v>38</v>
      </c>
    </row>
    <row r="2" spans="1:2" customFormat="1">
      <c r="A2" t="s">
        <v>39</v>
      </c>
    </row>
    <row r="3" spans="1:2" customFormat="1"/>
    <row r="4" spans="1:2" customFormat="1"/>
    <row r="5" spans="1:2" customFormat="1" ht="14.25">
      <c r="A5" s="76" t="s">
        <v>40</v>
      </c>
    </row>
    <row r="6" spans="1:2" customFormat="1"/>
    <row r="7" spans="1:2" customFormat="1" ht="15">
      <c r="A7" s="77" t="s">
        <v>41</v>
      </c>
      <c r="B7" t="s">
        <v>42</v>
      </c>
    </row>
    <row r="8" spans="1:2" customFormat="1" ht="15">
      <c r="A8" s="77" t="s">
        <v>43</v>
      </c>
      <c r="B8" t="s">
        <v>44</v>
      </c>
    </row>
    <row r="9" spans="1:2" customFormat="1" ht="15">
      <c r="A9" s="77"/>
      <c r="B9" t="s">
        <v>45</v>
      </c>
    </row>
    <row r="10" spans="1:2" customFormat="1" ht="15">
      <c r="A10" s="77"/>
      <c r="B10" t="s">
        <v>46</v>
      </c>
    </row>
    <row r="11" spans="1:2" customFormat="1" ht="15">
      <c r="A11" s="77"/>
      <c r="B11" t="s">
        <v>47</v>
      </c>
    </row>
    <row r="12" spans="1:2" customFormat="1" ht="15">
      <c r="A12" s="77" t="s">
        <v>48</v>
      </c>
      <c r="B12" t="s">
        <v>47</v>
      </c>
    </row>
    <row r="13" spans="1:2" customFormat="1">
      <c r="B13" t="s">
        <v>45</v>
      </c>
    </row>
    <row r="14" spans="1:2" customFormat="1">
      <c r="B14" t="s">
        <v>46</v>
      </c>
    </row>
    <row r="15" spans="1:2" customFormat="1">
      <c r="B15" t="s">
        <v>47</v>
      </c>
    </row>
    <row r="16" spans="1:2" customFormat="1"/>
    <row r="17" spans="1:14">
      <c r="A17"/>
      <c r="B17"/>
      <c r="D17"/>
      <c r="F17"/>
      <c r="H17"/>
      <c r="J17"/>
    </row>
    <row r="18" spans="1:14">
      <c r="F18" s="80" t="s">
        <v>50</v>
      </c>
      <c r="J18" s="81"/>
    </row>
    <row r="19" spans="1:14">
      <c r="A19" s="80" t="s">
        <v>51</v>
      </c>
      <c r="D19" s="80">
        <f>+'Tabel 2025 52 weken incl. 27'!D19</f>
        <v>10.71</v>
      </c>
      <c r="F19" s="236">
        <f>IF(F28-D19&gt;0,F28-D19,0)</f>
        <v>0</v>
      </c>
      <c r="L19" s="82"/>
      <c r="N19" s="80"/>
    </row>
    <row r="20" spans="1:14">
      <c r="A20" s="80" t="s">
        <v>52</v>
      </c>
      <c r="D20" s="80">
        <f>+'Tabel 2025 52 weken incl. 27'!D20</f>
        <v>9.52</v>
      </c>
      <c r="F20" s="236">
        <f>IF(H28-D20&gt;0,H28-D20,0)</f>
        <v>0</v>
      </c>
      <c r="N20" s="80"/>
    </row>
    <row r="21" spans="1:14">
      <c r="A21" s="80"/>
      <c r="D21" s="80"/>
      <c r="N21" s="80"/>
    </row>
    <row r="22" spans="1:14">
      <c r="A22" s="80"/>
      <c r="D22" s="80"/>
      <c r="N22" s="80"/>
    </row>
    <row r="23" spans="1:14">
      <c r="A23" s="80"/>
      <c r="D23" s="80"/>
      <c r="N23" s="80"/>
    </row>
    <row r="24" spans="1:14" ht="15">
      <c r="A24" s="318" t="s">
        <v>54</v>
      </c>
      <c r="B24" s="318"/>
      <c r="D24" s="319" t="s">
        <v>55</v>
      </c>
      <c r="E24" s="319"/>
      <c r="F24" s="319"/>
      <c r="G24" s="319"/>
      <c r="H24" s="319"/>
      <c r="I24" s="83"/>
      <c r="J24" s="320" t="s">
        <v>56</v>
      </c>
      <c r="K24" s="320"/>
      <c r="L24" s="320"/>
      <c r="M24" s="320"/>
      <c r="N24" s="320"/>
    </row>
    <row r="25" spans="1:14">
      <c r="A25" s="280" t="s">
        <v>57</v>
      </c>
      <c r="B25" s="280"/>
      <c r="D25" s="237" t="s">
        <v>58</v>
      </c>
      <c r="E25" s="85"/>
      <c r="F25" s="86"/>
      <c r="G25" s="85"/>
      <c r="H25" s="86"/>
      <c r="J25" s="238" t="s">
        <v>58</v>
      </c>
      <c r="K25" s="87"/>
      <c r="L25" s="87"/>
      <c r="M25" s="87"/>
      <c r="N25" s="87"/>
    </row>
    <row r="26" spans="1:14" ht="24">
      <c r="A26" s="280" t="s">
        <v>59</v>
      </c>
      <c r="B26" s="280"/>
      <c r="D26" s="237" t="s">
        <v>60</v>
      </c>
      <c r="E26" s="85"/>
      <c r="F26" s="88" t="s">
        <v>61</v>
      </c>
      <c r="G26" s="89"/>
      <c r="H26" s="88" t="s">
        <v>62</v>
      </c>
      <c r="J26" s="238" t="s">
        <v>60</v>
      </c>
      <c r="K26" s="87"/>
      <c r="L26" s="90" t="s">
        <v>63</v>
      </c>
      <c r="M26" s="87"/>
      <c r="N26" s="90" t="s">
        <v>64</v>
      </c>
    </row>
    <row r="27" spans="1:14" ht="24">
      <c r="A27" s="280" t="s">
        <v>65</v>
      </c>
      <c r="B27" s="281">
        <f>B33/20302</f>
        <v>1.1432863757265295</v>
      </c>
      <c r="D27" s="91"/>
      <c r="E27" s="85"/>
      <c r="F27" s="92" t="s">
        <v>66</v>
      </c>
      <c r="G27" s="93"/>
      <c r="H27" s="92" t="s">
        <v>67</v>
      </c>
      <c r="J27" s="94"/>
      <c r="K27" s="87"/>
      <c r="L27" s="95" t="s">
        <v>66</v>
      </c>
      <c r="M27" s="96"/>
      <c r="N27" s="95" t="s">
        <v>67</v>
      </c>
    </row>
    <row r="28" spans="1:14">
      <c r="A28" s="280"/>
      <c r="B28" s="280"/>
      <c r="D28" s="91"/>
      <c r="E28" s="85"/>
      <c r="F28" s="235">
        <v>10.59</v>
      </c>
      <c r="G28" s="93"/>
      <c r="H28" s="235">
        <v>9.51</v>
      </c>
      <c r="I28" t="s">
        <v>76</v>
      </c>
      <c r="J28" s="94"/>
      <c r="K28" s="87"/>
      <c r="L28" s="97">
        <f>F28</f>
        <v>10.59</v>
      </c>
      <c r="M28" s="87"/>
      <c r="N28" s="97">
        <f>H28</f>
        <v>9.51</v>
      </c>
    </row>
    <row r="29" spans="1:14" ht="13.5" thickBot="1">
      <c r="A29" s="280"/>
      <c r="B29" s="280"/>
      <c r="D29" s="91"/>
      <c r="E29" s="85"/>
      <c r="F29" s="86"/>
      <c r="G29" s="85"/>
      <c r="H29" s="88"/>
      <c r="J29" s="94"/>
      <c r="K29" s="87"/>
      <c r="L29" s="87"/>
      <c r="M29" s="87"/>
      <c r="N29" s="87"/>
    </row>
    <row r="30" spans="1:14">
      <c r="A30" s="280" t="s">
        <v>3</v>
      </c>
      <c r="B30" s="280" t="s">
        <v>4</v>
      </c>
      <c r="D30" s="239" t="s">
        <v>69</v>
      </c>
      <c r="E30" s="85"/>
      <c r="F30" s="99" t="s">
        <v>70</v>
      </c>
      <c r="G30" s="85"/>
      <c r="H30" s="99" t="s">
        <v>70</v>
      </c>
      <c r="J30" s="240" t="s">
        <v>71</v>
      </c>
      <c r="K30" s="87"/>
      <c r="L30" s="100" t="s">
        <v>70</v>
      </c>
      <c r="M30" s="87"/>
      <c r="N30" s="100" t="s">
        <v>70</v>
      </c>
    </row>
    <row r="31" spans="1:14" ht="13.5" thickBot="1">
      <c r="A31" s="280"/>
      <c r="B31" s="280"/>
      <c r="D31" s="241" t="s">
        <v>72</v>
      </c>
      <c r="E31" s="85"/>
      <c r="F31" s="102" t="s">
        <v>73</v>
      </c>
      <c r="G31" s="85"/>
      <c r="H31" s="102" t="s">
        <v>73</v>
      </c>
      <c r="J31" s="242" t="s">
        <v>74</v>
      </c>
      <c r="K31" s="87"/>
      <c r="L31" s="103" t="s">
        <v>73</v>
      </c>
      <c r="M31" s="87"/>
      <c r="N31" s="103" t="s">
        <v>73</v>
      </c>
    </row>
    <row r="32" spans="1:14" ht="13.5" thickBot="1">
      <c r="A32" s="280"/>
      <c r="B32" s="280"/>
      <c r="D32" s="91"/>
      <c r="E32" s="85"/>
      <c r="F32" s="86"/>
      <c r="G32" s="85"/>
      <c r="H32" s="86"/>
      <c r="J32" s="94"/>
      <c r="K32" s="87"/>
      <c r="L32" s="87"/>
      <c r="M32" s="87"/>
      <c r="N32" s="87"/>
    </row>
    <row r="33" spans="1:23" ht="15.75" thickBot="1">
      <c r="A33" s="256" t="str">
        <f>+'Tabel 2025 52 weken incl. 27'!A33</f>
        <v>lager dan</v>
      </c>
      <c r="B33" s="256">
        <f>+'Tabel 2025 52 weken incl. 27'!B33</f>
        <v>23211</v>
      </c>
      <c r="D33" s="142">
        <f>+'Tabel 2025 52 weken incl. 27'!D33</f>
        <v>0.96</v>
      </c>
      <c r="E33" s="140"/>
      <c r="F33" s="293">
        <f>IF($D$19&gt;=$F$28,($F$28*(100%-D33))+($F$19),$D$19*(100%-D33)+$F$19)</f>
        <v>0.42360000000000037</v>
      </c>
      <c r="G33" s="292"/>
      <c r="H33" s="293">
        <f>IF($D$20&gt;=$H$28,($H$28*(100%-D33))+($F$20),$D$20*(100%-D33)+($F$20))</f>
        <v>0.38040000000000035</v>
      </c>
      <c r="J33" s="296">
        <f>+'Tabel 2025 52 weken incl. 27'!J33</f>
        <v>0.96</v>
      </c>
      <c r="K33" s="141"/>
      <c r="L33" s="295">
        <f>IF($D$19&gt;=$L$28,($L$28*(100%-J33))+(F$19),$D$19*(100%-J33)+$F$19)</f>
        <v>0.42360000000000037</v>
      </c>
      <c r="M33" s="294"/>
      <c r="N33" s="295">
        <f>IF($D$20&gt;=$H$28,($H$28*(100%-J33))+($F$20),$D$20*(100%-J33)+($F$20))</f>
        <v>0.38040000000000035</v>
      </c>
      <c r="P33" s="254"/>
    </row>
    <row r="34" spans="1:23" ht="15.75" thickBot="1">
      <c r="A34" s="256">
        <f>+'Tabel 2025 52 weken incl. 27'!A34</f>
        <v>23212</v>
      </c>
      <c r="B34" s="256">
        <f>+'Tabel 2025 52 weken incl. 27'!B34</f>
        <v>24756</v>
      </c>
      <c r="D34" s="142">
        <f>+'Tabel 2025 52 weken incl. 27'!D34</f>
        <v>0.96</v>
      </c>
      <c r="E34" s="140"/>
      <c r="F34" s="293">
        <f t="shared" ref="F34:F97" si="0">IF($D$19&gt;=$F$28,($F$28*(100%-D34))+($F$19),$D$19*(100%-D34)+$F$19)</f>
        <v>0.42360000000000037</v>
      </c>
      <c r="G34" s="292"/>
      <c r="H34" s="293">
        <f t="shared" ref="H34:H97" si="1">IF($D$20&gt;=$H$28,($H$28*(100%-D34))+($F$20),$D$20*(100%-D34)+($F$20))</f>
        <v>0.38040000000000035</v>
      </c>
      <c r="J34" s="296">
        <f>+'Tabel 2025 52 weken incl. 27'!J34</f>
        <v>0.96</v>
      </c>
      <c r="K34" s="141"/>
      <c r="L34" s="295">
        <f t="shared" ref="L34:L97" si="2">IF($D$19&gt;=$L$28,($L$28*(100%-J34))+(F$19),$D$19*(100%-J34)+$F$19)</f>
        <v>0.42360000000000037</v>
      </c>
      <c r="M34" s="294"/>
      <c r="N34" s="295">
        <f t="shared" ref="N34:N97" si="3">IF($D$20&gt;=$H$28,($H$28*(100%-J34))+($F$20),$D$20*(100%-J34)+($F$20))</f>
        <v>0.38040000000000035</v>
      </c>
      <c r="P34" s="255"/>
    </row>
    <row r="35" spans="1:23" ht="15.75" thickBot="1">
      <c r="A35" s="256">
        <f>+'Tabel 2025 52 weken incl. 27'!A35</f>
        <v>24757</v>
      </c>
      <c r="B35" s="256">
        <f>+'Tabel 2025 52 weken incl. 27'!B35</f>
        <v>26300</v>
      </c>
      <c r="D35" s="142">
        <f>+'Tabel 2025 52 weken incl. 27'!D35</f>
        <v>0.96</v>
      </c>
      <c r="E35" s="140"/>
      <c r="F35" s="293">
        <f t="shared" si="0"/>
        <v>0.42360000000000037</v>
      </c>
      <c r="G35" s="292"/>
      <c r="H35" s="293">
        <f t="shared" si="1"/>
        <v>0.38040000000000035</v>
      </c>
      <c r="J35" s="296">
        <f>+'Tabel 2025 52 weken incl. 27'!J35</f>
        <v>0.96</v>
      </c>
      <c r="K35" s="141"/>
      <c r="L35" s="295">
        <f t="shared" si="2"/>
        <v>0.42360000000000037</v>
      </c>
      <c r="M35" s="294"/>
      <c r="N35" s="295">
        <f t="shared" si="3"/>
        <v>0.38040000000000035</v>
      </c>
      <c r="P35" s="255"/>
      <c r="R35" s="104"/>
    </row>
    <row r="36" spans="1:23" ht="15.75" thickBot="1">
      <c r="A36" s="256">
        <f>+'Tabel 2025 52 weken incl. 27'!A36</f>
        <v>26301</v>
      </c>
      <c r="B36" s="256">
        <f>+'Tabel 2025 52 weken incl. 27'!B36</f>
        <v>27848</v>
      </c>
      <c r="D36" s="142">
        <f>+'Tabel 2025 52 weken incl. 27'!D36</f>
        <v>0.96</v>
      </c>
      <c r="E36" s="140"/>
      <c r="F36" s="293">
        <f t="shared" si="0"/>
        <v>0.42360000000000037</v>
      </c>
      <c r="G36" s="292"/>
      <c r="H36" s="293">
        <f t="shared" si="1"/>
        <v>0.38040000000000035</v>
      </c>
      <c r="J36" s="296">
        <f>+'Tabel 2025 52 weken incl. 27'!J36</f>
        <v>0.96</v>
      </c>
      <c r="K36" s="141"/>
      <c r="L36" s="295">
        <f t="shared" si="2"/>
        <v>0.42360000000000037</v>
      </c>
      <c r="M36" s="294"/>
      <c r="N36" s="295">
        <f t="shared" si="3"/>
        <v>0.38040000000000035</v>
      </c>
      <c r="P36" s="255"/>
    </row>
    <row r="37" spans="1:23" ht="15.75" thickBot="1">
      <c r="A37" s="256">
        <f>+'Tabel 2025 52 weken incl. 27'!A37</f>
        <v>27849</v>
      </c>
      <c r="B37" s="256">
        <f>+'Tabel 2025 52 weken incl. 27'!B37</f>
        <v>29392</v>
      </c>
      <c r="D37" s="142">
        <f>+'Tabel 2025 52 weken incl. 27'!D37</f>
        <v>0.96</v>
      </c>
      <c r="E37" s="140"/>
      <c r="F37" s="293">
        <f t="shared" si="0"/>
        <v>0.42360000000000037</v>
      </c>
      <c r="G37" s="292"/>
      <c r="H37" s="293">
        <f t="shared" si="1"/>
        <v>0.38040000000000035</v>
      </c>
      <c r="J37" s="296">
        <f>+'Tabel 2025 52 weken incl. 27'!J37</f>
        <v>0.96</v>
      </c>
      <c r="K37" s="141"/>
      <c r="L37" s="295">
        <f t="shared" si="2"/>
        <v>0.42360000000000037</v>
      </c>
      <c r="M37" s="294"/>
      <c r="N37" s="295">
        <f t="shared" si="3"/>
        <v>0.38040000000000035</v>
      </c>
      <c r="P37" s="255"/>
    </row>
    <row r="38" spans="1:23" ht="15.75" thickBot="1">
      <c r="A38" s="256">
        <f>+'Tabel 2025 52 weken incl. 27'!A38</f>
        <v>29393</v>
      </c>
      <c r="B38" s="256">
        <f>+'Tabel 2025 52 weken incl. 27'!B38</f>
        <v>30939</v>
      </c>
      <c r="D38" s="142">
        <f>+'Tabel 2025 52 weken incl. 27'!D38</f>
        <v>0.96</v>
      </c>
      <c r="E38" s="140"/>
      <c r="F38" s="293">
        <f t="shared" si="0"/>
        <v>0.42360000000000037</v>
      </c>
      <c r="G38" s="292"/>
      <c r="H38" s="293">
        <f t="shared" si="1"/>
        <v>0.38040000000000035</v>
      </c>
      <c r="J38" s="296">
        <f>+'Tabel 2025 52 weken incl. 27'!J38</f>
        <v>0.96</v>
      </c>
      <c r="K38" s="141"/>
      <c r="L38" s="295">
        <f t="shared" si="2"/>
        <v>0.42360000000000037</v>
      </c>
      <c r="M38" s="294"/>
      <c r="N38" s="295">
        <f t="shared" si="3"/>
        <v>0.38040000000000035</v>
      </c>
      <c r="P38" s="255"/>
    </row>
    <row r="39" spans="1:23" ht="15.75" thickBot="1">
      <c r="A39" s="256">
        <f>+'Tabel 2025 52 weken incl. 27'!A39</f>
        <v>30940</v>
      </c>
      <c r="B39" s="256">
        <f>+'Tabel 2025 52 weken incl. 27'!B39</f>
        <v>32483</v>
      </c>
      <c r="D39" s="142">
        <f>+'Tabel 2025 52 weken incl. 27'!D39</f>
        <v>0.96</v>
      </c>
      <c r="E39" s="140"/>
      <c r="F39" s="293">
        <f t="shared" si="0"/>
        <v>0.42360000000000037</v>
      </c>
      <c r="G39" s="292"/>
      <c r="H39" s="293">
        <f t="shared" si="1"/>
        <v>0.38040000000000035</v>
      </c>
      <c r="J39" s="296">
        <f>+'Tabel 2025 52 weken incl. 27'!J39</f>
        <v>0.96</v>
      </c>
      <c r="K39" s="141"/>
      <c r="L39" s="295">
        <f t="shared" si="2"/>
        <v>0.42360000000000037</v>
      </c>
      <c r="M39" s="294"/>
      <c r="N39" s="295">
        <f t="shared" si="3"/>
        <v>0.38040000000000035</v>
      </c>
      <c r="P39" s="255"/>
    </row>
    <row r="40" spans="1:23" ht="15.75" thickBot="1">
      <c r="A40" s="256">
        <f>+'Tabel 2025 52 weken incl. 27'!A40</f>
        <v>32484</v>
      </c>
      <c r="B40" s="256">
        <f>+'Tabel 2025 52 weken incl. 27'!B40</f>
        <v>34025</v>
      </c>
      <c r="D40" s="142">
        <f>+'Tabel 2025 52 weken incl. 27'!D40</f>
        <v>0.96</v>
      </c>
      <c r="E40" s="140"/>
      <c r="F40" s="293">
        <f t="shared" si="0"/>
        <v>0.42360000000000037</v>
      </c>
      <c r="G40" s="292"/>
      <c r="H40" s="293">
        <f t="shared" si="1"/>
        <v>0.38040000000000035</v>
      </c>
      <c r="J40" s="296">
        <f>+'Tabel 2025 52 weken incl. 27'!J40</f>
        <v>0.96</v>
      </c>
      <c r="K40" s="141"/>
      <c r="L40" s="295">
        <f t="shared" si="2"/>
        <v>0.42360000000000037</v>
      </c>
      <c r="M40" s="294"/>
      <c r="N40" s="295">
        <f t="shared" si="3"/>
        <v>0.38040000000000035</v>
      </c>
      <c r="P40" s="255"/>
    </row>
    <row r="41" spans="1:23" ht="15.75" thickBot="1">
      <c r="A41" s="256">
        <f>+'Tabel 2025 52 weken incl. 27'!A41</f>
        <v>34026</v>
      </c>
      <c r="B41" s="256">
        <f>+'Tabel 2025 52 weken incl. 27'!B41</f>
        <v>35687</v>
      </c>
      <c r="D41" s="142">
        <f>+'Tabel 2025 52 weken incl. 27'!D41</f>
        <v>0.96</v>
      </c>
      <c r="E41" s="140"/>
      <c r="F41" s="293">
        <f t="shared" si="0"/>
        <v>0.42360000000000037</v>
      </c>
      <c r="G41" s="292"/>
      <c r="H41" s="293">
        <f t="shared" si="1"/>
        <v>0.38040000000000035</v>
      </c>
      <c r="J41" s="296">
        <f>+'Tabel 2025 52 weken incl. 27'!J41</f>
        <v>0.96</v>
      </c>
      <c r="K41" s="141"/>
      <c r="L41" s="295">
        <f t="shared" si="2"/>
        <v>0.42360000000000037</v>
      </c>
      <c r="M41" s="294"/>
      <c r="N41" s="295">
        <f t="shared" si="3"/>
        <v>0.38040000000000035</v>
      </c>
      <c r="P41" s="255"/>
    </row>
    <row r="42" spans="1:23" ht="15.75" thickBot="1">
      <c r="A42" s="256">
        <f>+'Tabel 2025 52 weken incl. 27'!A42</f>
        <v>35688</v>
      </c>
      <c r="B42" s="256">
        <f>+'Tabel 2025 52 weken incl. 27'!B42</f>
        <v>37346</v>
      </c>
      <c r="D42" s="142">
        <f>+'Tabel 2025 52 weken incl. 27'!D42</f>
        <v>0.96</v>
      </c>
      <c r="E42" s="140"/>
      <c r="F42" s="293">
        <f t="shared" si="0"/>
        <v>0.42360000000000037</v>
      </c>
      <c r="G42" s="292"/>
      <c r="H42" s="293">
        <f t="shared" si="1"/>
        <v>0.38040000000000035</v>
      </c>
      <c r="J42" s="296">
        <f>+'Tabel 2025 52 weken incl. 27'!J42</f>
        <v>0.96</v>
      </c>
      <c r="K42" s="141"/>
      <c r="L42" s="295">
        <f t="shared" si="2"/>
        <v>0.42360000000000037</v>
      </c>
      <c r="M42" s="294"/>
      <c r="N42" s="295">
        <f t="shared" si="3"/>
        <v>0.38040000000000035</v>
      </c>
      <c r="P42" s="255"/>
    </row>
    <row r="43" spans="1:23" ht="15.75" thickBot="1">
      <c r="A43" s="256">
        <f>+'Tabel 2025 52 weken incl. 27'!A43</f>
        <v>37347</v>
      </c>
      <c r="B43" s="256">
        <f>+'Tabel 2025 52 weken incl. 27'!B43</f>
        <v>39010</v>
      </c>
      <c r="D43" s="142">
        <f>+'Tabel 2025 52 weken incl. 27'!D43</f>
        <v>0.96</v>
      </c>
      <c r="E43" s="140"/>
      <c r="F43" s="293">
        <f t="shared" si="0"/>
        <v>0.42360000000000037</v>
      </c>
      <c r="G43" s="292"/>
      <c r="H43" s="293">
        <f t="shared" si="1"/>
        <v>0.38040000000000035</v>
      </c>
      <c r="J43" s="296">
        <f>+'Tabel 2025 52 weken incl. 27'!J43</f>
        <v>0.96</v>
      </c>
      <c r="K43" s="141"/>
      <c r="L43" s="295">
        <f t="shared" si="2"/>
        <v>0.42360000000000037</v>
      </c>
      <c r="M43" s="294"/>
      <c r="N43" s="295">
        <f t="shared" si="3"/>
        <v>0.38040000000000035</v>
      </c>
      <c r="P43" s="255"/>
    </row>
    <row r="44" spans="1:23" ht="15.75" thickBot="1">
      <c r="A44" s="256">
        <f>+'Tabel 2025 52 weken incl. 27'!A44</f>
        <v>39011</v>
      </c>
      <c r="B44" s="256">
        <f>+'Tabel 2025 52 weken incl. 27'!B44</f>
        <v>40670</v>
      </c>
      <c r="D44" s="142">
        <f>+'Tabel 2025 52 weken incl. 27'!D44</f>
        <v>0.96</v>
      </c>
      <c r="E44" s="140"/>
      <c r="F44" s="293">
        <f t="shared" si="0"/>
        <v>0.42360000000000037</v>
      </c>
      <c r="G44" s="292"/>
      <c r="H44" s="293">
        <f t="shared" si="1"/>
        <v>0.38040000000000035</v>
      </c>
      <c r="J44" s="296">
        <f>+'Tabel 2025 52 weken incl. 27'!J44</f>
        <v>0.96</v>
      </c>
      <c r="K44" s="141"/>
      <c r="L44" s="295">
        <f t="shared" si="2"/>
        <v>0.42360000000000037</v>
      </c>
      <c r="M44" s="294"/>
      <c r="N44" s="295">
        <f t="shared" si="3"/>
        <v>0.38040000000000035</v>
      </c>
      <c r="P44" s="255"/>
    </row>
    <row r="45" spans="1:23" ht="15.75" thickBot="1">
      <c r="A45" s="256">
        <f>+'Tabel 2025 52 weken incl. 27'!A45</f>
        <v>40671</v>
      </c>
      <c r="B45" s="256">
        <f>+'Tabel 2025 52 weken incl. 27'!B45</f>
        <v>42336</v>
      </c>
      <c r="D45" s="142">
        <f>+'Tabel 2025 52 weken incl. 27'!D45</f>
        <v>0.96</v>
      </c>
      <c r="E45" s="140"/>
      <c r="F45" s="293">
        <f t="shared" si="0"/>
        <v>0.42360000000000037</v>
      </c>
      <c r="G45" s="292"/>
      <c r="H45" s="293">
        <f t="shared" si="1"/>
        <v>0.38040000000000035</v>
      </c>
      <c r="J45" s="296">
        <f>+'Tabel 2025 52 weken incl. 27'!J45</f>
        <v>0.96</v>
      </c>
      <c r="K45" s="141"/>
      <c r="L45" s="295">
        <f t="shared" si="2"/>
        <v>0.42360000000000037</v>
      </c>
      <c r="M45" s="294"/>
      <c r="N45" s="295">
        <f t="shared" si="3"/>
        <v>0.38040000000000035</v>
      </c>
      <c r="P45" s="255"/>
    </row>
    <row r="46" spans="1:23" ht="15.75" thickBot="1">
      <c r="A46" s="256">
        <f>+'Tabel 2025 52 weken incl. 27'!A46</f>
        <v>42337</v>
      </c>
      <c r="B46" s="256">
        <f>+'Tabel 2025 52 weken incl. 27'!B46</f>
        <v>43998</v>
      </c>
      <c r="D46" s="142">
        <f>+'Tabel 2025 52 weken incl. 27'!D46</f>
        <v>0.96</v>
      </c>
      <c r="E46" s="140"/>
      <c r="F46" s="293">
        <f t="shared" si="0"/>
        <v>0.42360000000000037</v>
      </c>
      <c r="G46" s="292"/>
      <c r="H46" s="293">
        <f t="shared" si="1"/>
        <v>0.38040000000000035</v>
      </c>
      <c r="J46" s="296">
        <f>+'Tabel 2025 52 weken incl. 27'!J46</f>
        <v>0.96</v>
      </c>
      <c r="K46" s="141"/>
      <c r="L46" s="295">
        <f t="shared" si="2"/>
        <v>0.42360000000000037</v>
      </c>
      <c r="M46" s="294"/>
      <c r="N46" s="295">
        <f t="shared" si="3"/>
        <v>0.38040000000000035</v>
      </c>
      <c r="P46" s="255"/>
      <c r="V46" s="105"/>
      <c r="W46" s="244"/>
    </row>
    <row r="47" spans="1:23" ht="15.75" thickBot="1">
      <c r="A47" s="256">
        <f>+'Tabel 2025 52 weken incl. 27'!A47</f>
        <v>43999</v>
      </c>
      <c r="B47" s="256">
        <f>+'Tabel 2025 52 weken incl. 27'!B47</f>
        <v>45700</v>
      </c>
      <c r="D47" s="142">
        <f>+'Tabel 2025 52 weken incl. 27'!D47</f>
        <v>0.96</v>
      </c>
      <c r="E47" s="140"/>
      <c r="F47" s="293">
        <f t="shared" si="0"/>
        <v>0.42360000000000037</v>
      </c>
      <c r="G47" s="292"/>
      <c r="H47" s="293">
        <f t="shared" si="1"/>
        <v>0.38040000000000035</v>
      </c>
      <c r="J47" s="296">
        <f>+'Tabel 2025 52 weken incl. 27'!J47</f>
        <v>0.96</v>
      </c>
      <c r="K47" s="141"/>
      <c r="L47" s="295">
        <f t="shared" si="2"/>
        <v>0.42360000000000037</v>
      </c>
      <c r="M47" s="294"/>
      <c r="N47" s="295">
        <f t="shared" si="3"/>
        <v>0.38040000000000035</v>
      </c>
      <c r="P47" s="255"/>
      <c r="V47" s="105"/>
    </row>
    <row r="48" spans="1:23" ht="15.75" thickBot="1">
      <c r="A48" s="256">
        <f>+'Tabel 2025 52 weken incl. 27'!A48</f>
        <v>45701</v>
      </c>
      <c r="B48" s="256">
        <f>+'Tabel 2025 52 weken incl. 27'!B48</f>
        <v>47403</v>
      </c>
      <c r="D48" s="142">
        <f>+'Tabel 2025 52 weken incl. 27'!D48</f>
        <v>0.96</v>
      </c>
      <c r="E48" s="140"/>
      <c r="F48" s="293">
        <f t="shared" si="0"/>
        <v>0.42360000000000037</v>
      </c>
      <c r="G48" s="292"/>
      <c r="H48" s="293">
        <f t="shared" si="1"/>
        <v>0.38040000000000035</v>
      </c>
      <c r="J48" s="296">
        <f>+'Tabel 2025 52 weken incl. 27'!J48</f>
        <v>0.96</v>
      </c>
      <c r="K48" s="141"/>
      <c r="L48" s="295">
        <f t="shared" si="2"/>
        <v>0.42360000000000037</v>
      </c>
      <c r="M48" s="294"/>
      <c r="N48" s="295">
        <f t="shared" si="3"/>
        <v>0.38040000000000035</v>
      </c>
      <c r="P48" s="255"/>
      <c r="V48" s="105"/>
    </row>
    <row r="49" spans="1:16" ht="15.75" thickBot="1">
      <c r="A49" s="256">
        <f>+'Tabel 2025 52 weken incl. 27'!A49</f>
        <v>47404</v>
      </c>
      <c r="B49" s="256">
        <f>+'Tabel 2025 52 weken incl. 27'!B49</f>
        <v>49108</v>
      </c>
      <c r="D49" s="142">
        <f>+'Tabel 2025 52 weken incl. 27'!D49</f>
        <v>0.95299999999999996</v>
      </c>
      <c r="E49" s="140"/>
      <c r="F49" s="293">
        <f t="shared" si="0"/>
        <v>0.49773000000000045</v>
      </c>
      <c r="G49" s="292"/>
      <c r="H49" s="293">
        <f t="shared" si="1"/>
        <v>0.44697000000000037</v>
      </c>
      <c r="J49" s="296">
        <f>+'Tabel 2025 52 weken incl. 27'!J49</f>
        <v>0.95599999999999996</v>
      </c>
      <c r="K49" s="141"/>
      <c r="L49" s="295">
        <f t="shared" si="2"/>
        <v>0.46596000000000043</v>
      </c>
      <c r="M49" s="294"/>
      <c r="N49" s="295">
        <f t="shared" si="3"/>
        <v>0.41844000000000037</v>
      </c>
      <c r="P49" s="255"/>
    </row>
    <row r="50" spans="1:16" ht="15.75" thickBot="1">
      <c r="A50" s="256">
        <f>+'Tabel 2025 52 weken incl. 27'!A50</f>
        <v>49109</v>
      </c>
      <c r="B50" s="256">
        <f>+'Tabel 2025 52 weken incl. 27'!B50</f>
        <v>50811</v>
      </c>
      <c r="D50" s="142">
        <f>+'Tabel 2025 52 weken incl. 27'!D50</f>
        <v>0.94599999999999995</v>
      </c>
      <c r="E50" s="140"/>
      <c r="F50" s="293">
        <f t="shared" si="0"/>
        <v>0.57186000000000048</v>
      </c>
      <c r="G50" s="292"/>
      <c r="H50" s="293">
        <f t="shared" si="1"/>
        <v>0.51354000000000044</v>
      </c>
      <c r="J50" s="296">
        <f>+'Tabel 2025 52 weken incl. 27'!J50</f>
        <v>0.95199999999999996</v>
      </c>
      <c r="K50" s="141"/>
      <c r="L50" s="295">
        <f t="shared" si="2"/>
        <v>0.50832000000000044</v>
      </c>
      <c r="M50" s="294"/>
      <c r="N50" s="295">
        <f t="shared" si="3"/>
        <v>0.45648000000000039</v>
      </c>
      <c r="P50" s="255"/>
    </row>
    <row r="51" spans="1:16" ht="15.75" thickBot="1">
      <c r="A51" s="256">
        <f>+'Tabel 2025 52 weken incl. 27'!A51</f>
        <v>50812</v>
      </c>
      <c r="B51" s="256">
        <f>+'Tabel 2025 52 weken incl. 27'!B51</f>
        <v>52519</v>
      </c>
      <c r="D51" s="142">
        <f>+'Tabel 2025 52 weken incl. 27'!D51</f>
        <v>0.93700000000000006</v>
      </c>
      <c r="E51" s="140"/>
      <c r="F51" s="293">
        <f t="shared" si="0"/>
        <v>0.66716999999999937</v>
      </c>
      <c r="G51" s="292"/>
      <c r="H51" s="293">
        <f t="shared" si="1"/>
        <v>0.5991299999999995</v>
      </c>
      <c r="J51" s="296">
        <f>+'Tabel 2025 52 weken incl. 27'!J51</f>
        <v>0.94799999999999995</v>
      </c>
      <c r="K51" s="141"/>
      <c r="L51" s="295">
        <f t="shared" si="2"/>
        <v>0.5506800000000005</v>
      </c>
      <c r="M51" s="294"/>
      <c r="N51" s="295">
        <f t="shared" si="3"/>
        <v>0.4945200000000004</v>
      </c>
      <c r="P51" s="255"/>
    </row>
    <row r="52" spans="1:16" ht="15.75" thickBot="1">
      <c r="A52" s="256">
        <f>+'Tabel 2025 52 weken incl. 27'!A52</f>
        <v>52520</v>
      </c>
      <c r="B52" s="256">
        <f>+'Tabel 2025 52 weken incl. 27'!B52</f>
        <v>54221</v>
      </c>
      <c r="D52" s="142">
        <f>+'Tabel 2025 52 weken incl. 27'!D52</f>
        <v>0.93100000000000005</v>
      </c>
      <c r="E52" s="140"/>
      <c r="F52" s="293">
        <f t="shared" si="0"/>
        <v>0.73070999999999942</v>
      </c>
      <c r="G52" s="292"/>
      <c r="H52" s="293">
        <f t="shared" si="1"/>
        <v>0.6561899999999995</v>
      </c>
      <c r="J52" s="296">
        <f>+'Tabel 2025 52 weken incl. 27'!J52</f>
        <v>0.94499999999999995</v>
      </c>
      <c r="K52" s="141"/>
      <c r="L52" s="295">
        <f t="shared" si="2"/>
        <v>0.58245000000000047</v>
      </c>
      <c r="M52" s="294"/>
      <c r="N52" s="295">
        <f t="shared" si="3"/>
        <v>0.52305000000000046</v>
      </c>
      <c r="P52" s="255"/>
    </row>
    <row r="53" spans="1:16" ht="15.75" thickBot="1">
      <c r="A53" s="256">
        <f>+'Tabel 2025 52 weken incl. 27'!A53</f>
        <v>54222</v>
      </c>
      <c r="B53" s="256">
        <f>+'Tabel 2025 52 weken incl. 27'!B53</f>
        <v>55925</v>
      </c>
      <c r="D53" s="142">
        <f>+'Tabel 2025 52 weken incl. 27'!D53</f>
        <v>0.92300000000000004</v>
      </c>
      <c r="E53" s="140"/>
      <c r="F53" s="293">
        <f t="shared" si="0"/>
        <v>0.81542999999999954</v>
      </c>
      <c r="G53" s="292"/>
      <c r="H53" s="293">
        <f t="shared" si="1"/>
        <v>0.73226999999999953</v>
      </c>
      <c r="J53" s="296">
        <f>+'Tabel 2025 52 weken incl. 27'!J53</f>
        <v>0.94499999999999995</v>
      </c>
      <c r="K53" s="141"/>
      <c r="L53" s="295">
        <f t="shared" si="2"/>
        <v>0.58245000000000047</v>
      </c>
      <c r="M53" s="294"/>
      <c r="N53" s="295">
        <f t="shared" si="3"/>
        <v>0.52305000000000046</v>
      </c>
      <c r="P53" s="255"/>
    </row>
    <row r="54" spans="1:16" ht="15.75" thickBot="1">
      <c r="A54" s="256">
        <f>+'Tabel 2025 52 weken incl. 27'!A54</f>
        <v>55926</v>
      </c>
      <c r="B54" s="256">
        <f>+'Tabel 2025 52 weken incl. 27'!B54</f>
        <v>57629</v>
      </c>
      <c r="D54" s="142">
        <f>+'Tabel 2025 52 weken incl. 27'!D54</f>
        <v>0.91600000000000004</v>
      </c>
      <c r="E54" s="140"/>
      <c r="F54" s="293">
        <f t="shared" si="0"/>
        <v>0.88955999999999957</v>
      </c>
      <c r="G54" s="292"/>
      <c r="H54" s="293">
        <f t="shared" si="1"/>
        <v>0.79883999999999966</v>
      </c>
      <c r="J54" s="296">
        <f>+'Tabel 2025 52 weken incl. 27'!J54</f>
        <v>0.94499999999999995</v>
      </c>
      <c r="K54" s="141"/>
      <c r="L54" s="295">
        <f t="shared" si="2"/>
        <v>0.58245000000000047</v>
      </c>
      <c r="M54" s="294"/>
      <c r="N54" s="295">
        <f t="shared" si="3"/>
        <v>0.52305000000000046</v>
      </c>
      <c r="P54" s="255"/>
    </row>
    <row r="55" spans="1:16" ht="15.75" thickBot="1">
      <c r="A55" s="256">
        <f>+'Tabel 2025 52 weken incl. 27'!A55</f>
        <v>57630</v>
      </c>
      <c r="B55" s="256">
        <f>+'Tabel 2025 52 weken incl. 27'!B55</f>
        <v>59492</v>
      </c>
      <c r="D55" s="142">
        <f>+'Tabel 2025 52 weken incl. 27'!D55</f>
        <v>0.90700000000000003</v>
      </c>
      <c r="E55" s="140"/>
      <c r="F55" s="293">
        <f t="shared" si="0"/>
        <v>0.98486999999999969</v>
      </c>
      <c r="G55" s="292"/>
      <c r="H55" s="293">
        <f t="shared" si="1"/>
        <v>0.88442999999999972</v>
      </c>
      <c r="J55" s="296">
        <f>+'Tabel 2025 52 weken incl. 27'!J55</f>
        <v>0.94499999999999995</v>
      </c>
      <c r="K55" s="141"/>
      <c r="L55" s="295">
        <f t="shared" si="2"/>
        <v>0.58245000000000047</v>
      </c>
      <c r="M55" s="294"/>
      <c r="N55" s="295">
        <f t="shared" si="3"/>
        <v>0.52305000000000046</v>
      </c>
      <c r="P55" s="255"/>
    </row>
    <row r="56" spans="1:16" ht="15.75" thickBot="1">
      <c r="A56" s="256">
        <f>+'Tabel 2025 52 weken incl. 27'!A56</f>
        <v>59493</v>
      </c>
      <c r="B56" s="256">
        <f>+'Tabel 2025 52 weken incl. 27'!B56</f>
        <v>63144</v>
      </c>
      <c r="D56" s="142">
        <f>+'Tabel 2025 52 weken incl. 27'!D56</f>
        <v>0.89200000000000002</v>
      </c>
      <c r="E56" s="140"/>
      <c r="F56" s="293">
        <f t="shared" si="0"/>
        <v>1.1437199999999998</v>
      </c>
      <c r="G56" s="292"/>
      <c r="H56" s="293">
        <f t="shared" si="1"/>
        <v>1.0270799999999998</v>
      </c>
      <c r="J56" s="296">
        <f>+'Tabel 2025 52 weken incl. 27'!J56</f>
        <v>0.94499999999999995</v>
      </c>
      <c r="K56" s="141"/>
      <c r="L56" s="295">
        <f t="shared" si="2"/>
        <v>0.58245000000000047</v>
      </c>
      <c r="M56" s="294"/>
      <c r="N56" s="295">
        <f t="shared" si="3"/>
        <v>0.52305000000000046</v>
      </c>
      <c r="P56" s="255"/>
    </row>
    <row r="57" spans="1:16" ht="15.75" thickBot="1">
      <c r="A57" s="256">
        <f>+'Tabel 2025 52 weken incl. 27'!A57</f>
        <v>63145</v>
      </c>
      <c r="B57" s="256">
        <f>+'Tabel 2025 52 weken incl. 27'!B57</f>
        <v>66794</v>
      </c>
      <c r="D57" s="142">
        <f>+'Tabel 2025 52 weken incl. 27'!D57</f>
        <v>0.88400000000000001</v>
      </c>
      <c r="E57" s="140"/>
      <c r="F57" s="293">
        <f t="shared" si="0"/>
        <v>1.22844</v>
      </c>
      <c r="G57" s="292"/>
      <c r="H57" s="293">
        <f t="shared" si="1"/>
        <v>1.1031599999999999</v>
      </c>
      <c r="J57" s="296">
        <f>+'Tabel 2025 52 weken incl. 27'!J57</f>
        <v>0.94099999999999995</v>
      </c>
      <c r="K57" s="141"/>
      <c r="L57" s="295">
        <f t="shared" si="2"/>
        <v>0.62481000000000053</v>
      </c>
      <c r="M57" s="294"/>
      <c r="N57" s="295">
        <f t="shared" si="3"/>
        <v>0.56109000000000053</v>
      </c>
      <c r="P57" s="255"/>
    </row>
    <row r="58" spans="1:16" ht="15.75" thickBot="1">
      <c r="A58" s="256">
        <f>+'Tabel 2025 52 weken incl. 27'!A58</f>
        <v>66795</v>
      </c>
      <c r="B58" s="256">
        <f>+'Tabel 2025 52 weken incl. 27'!B58</f>
        <v>70446</v>
      </c>
      <c r="D58" s="142">
        <f>+'Tabel 2025 52 weken incl. 27'!D58</f>
        <v>0.873</v>
      </c>
      <c r="E58" s="140"/>
      <c r="F58" s="293">
        <f t="shared" si="0"/>
        <v>1.34493</v>
      </c>
      <c r="G58" s="292"/>
      <c r="H58" s="293">
        <f t="shared" si="1"/>
        <v>1.20777</v>
      </c>
      <c r="J58" s="296">
        <f>+'Tabel 2025 52 weken incl. 27'!J58</f>
        <v>0.93500000000000005</v>
      </c>
      <c r="K58" s="141"/>
      <c r="L58" s="295">
        <f t="shared" si="2"/>
        <v>0.68834999999999946</v>
      </c>
      <c r="M58" s="294"/>
      <c r="N58" s="295">
        <f t="shared" si="3"/>
        <v>0.61814999999999953</v>
      </c>
      <c r="P58" s="255"/>
    </row>
    <row r="59" spans="1:16" ht="15.75" thickBot="1">
      <c r="A59" s="256">
        <f>+'Tabel 2025 52 weken incl. 27'!A59</f>
        <v>70447</v>
      </c>
      <c r="B59" s="256">
        <f>+'Tabel 2025 52 weken incl. 27'!B59</f>
        <v>74100</v>
      </c>
      <c r="D59" s="142">
        <f>+'Tabel 2025 52 weken incl. 27'!D59</f>
        <v>0.85</v>
      </c>
      <c r="E59" s="140"/>
      <c r="F59" s="293">
        <f t="shared" si="0"/>
        <v>1.5885000000000002</v>
      </c>
      <c r="G59" s="292"/>
      <c r="H59" s="293">
        <f t="shared" si="1"/>
        <v>1.4265000000000001</v>
      </c>
      <c r="J59" s="296">
        <f>+'Tabel 2025 52 weken incl. 27'!J59</f>
        <v>0.93100000000000005</v>
      </c>
      <c r="K59" s="141"/>
      <c r="L59" s="295">
        <f t="shared" si="2"/>
        <v>0.73070999999999942</v>
      </c>
      <c r="M59" s="294"/>
      <c r="N59" s="295">
        <f t="shared" si="3"/>
        <v>0.6561899999999995</v>
      </c>
      <c r="P59" s="255"/>
    </row>
    <row r="60" spans="1:16" ht="15.75" thickBot="1">
      <c r="A60" s="256">
        <f>+'Tabel 2025 52 weken incl. 27'!A60</f>
        <v>74101</v>
      </c>
      <c r="B60" s="256">
        <f>+'Tabel 2025 52 weken incl. 27'!B60</f>
        <v>77750</v>
      </c>
      <c r="D60" s="142">
        <f>+'Tabel 2025 52 weken incl. 27'!D60</f>
        <v>0.82699999999999996</v>
      </c>
      <c r="E60" s="140"/>
      <c r="F60" s="293">
        <f t="shared" si="0"/>
        <v>1.8320700000000005</v>
      </c>
      <c r="G60" s="292"/>
      <c r="H60" s="293">
        <f t="shared" si="1"/>
        <v>1.6452300000000004</v>
      </c>
      <c r="J60" s="296">
        <f>+'Tabel 2025 52 weken incl. 27'!J60</f>
        <v>0.92800000000000005</v>
      </c>
      <c r="K60" s="141"/>
      <c r="L60" s="295">
        <f t="shared" si="2"/>
        <v>0.76247999999999949</v>
      </c>
      <c r="M60" s="294"/>
      <c r="N60" s="295">
        <f t="shared" si="3"/>
        <v>0.68471999999999955</v>
      </c>
      <c r="P60" s="255"/>
    </row>
    <row r="61" spans="1:16" ht="15.75" thickBot="1">
      <c r="A61" s="256">
        <f>+'Tabel 2025 52 weken incl. 27'!A61</f>
        <v>77751</v>
      </c>
      <c r="B61" s="256">
        <f>+'Tabel 2025 52 weken incl. 27'!B61</f>
        <v>81404</v>
      </c>
      <c r="D61" s="142">
        <f>+'Tabel 2025 52 weken incl. 27'!D61</f>
        <v>0.80500000000000005</v>
      </c>
      <c r="E61" s="140"/>
      <c r="F61" s="293">
        <f t="shared" si="0"/>
        <v>2.0650499999999994</v>
      </c>
      <c r="G61" s="292"/>
      <c r="H61" s="293">
        <f t="shared" si="1"/>
        <v>1.8544499999999995</v>
      </c>
      <c r="J61" s="296">
        <f>+'Tabel 2025 52 weken incl. 27'!J61</f>
        <v>0.92100000000000004</v>
      </c>
      <c r="K61" s="141"/>
      <c r="L61" s="295">
        <f t="shared" si="2"/>
        <v>0.83660999999999952</v>
      </c>
      <c r="M61" s="294"/>
      <c r="N61" s="295">
        <f t="shared" si="3"/>
        <v>0.75128999999999957</v>
      </c>
      <c r="P61" s="255"/>
    </row>
    <row r="62" spans="1:16" ht="15.75" thickBot="1">
      <c r="A62" s="256">
        <f>+'Tabel 2025 52 weken incl. 27'!A62</f>
        <v>81405</v>
      </c>
      <c r="B62" s="256">
        <f>+'Tabel 2025 52 weken incl. 27'!B62</f>
        <v>85055</v>
      </c>
      <c r="D62" s="142">
        <f>+'Tabel 2025 52 weken incl. 27'!D62</f>
        <v>0.78</v>
      </c>
      <c r="E62" s="140"/>
      <c r="F62" s="293">
        <f t="shared" si="0"/>
        <v>2.3297999999999996</v>
      </c>
      <c r="G62" s="292"/>
      <c r="H62" s="293">
        <f t="shared" si="1"/>
        <v>2.0921999999999996</v>
      </c>
      <c r="J62" s="296">
        <f>+'Tabel 2025 52 weken incl. 27'!J62</f>
        <v>0.91600000000000004</v>
      </c>
      <c r="K62" s="141"/>
      <c r="L62" s="295">
        <f t="shared" si="2"/>
        <v>0.88955999999999957</v>
      </c>
      <c r="M62" s="294"/>
      <c r="N62" s="295">
        <f t="shared" si="3"/>
        <v>0.79883999999999966</v>
      </c>
      <c r="P62" s="255"/>
    </row>
    <row r="63" spans="1:16" ht="15.75" thickBot="1">
      <c r="A63" s="256">
        <f>+'Tabel 2025 52 weken incl. 27'!A63</f>
        <v>85056</v>
      </c>
      <c r="B63" s="256">
        <f>+'Tabel 2025 52 weken incl. 27'!B63</f>
        <v>88707</v>
      </c>
      <c r="D63" s="142">
        <f>+'Tabel 2025 52 weken incl. 27'!D63</f>
        <v>0.75700000000000001</v>
      </c>
      <c r="E63" s="140"/>
      <c r="F63" s="293">
        <f t="shared" si="0"/>
        <v>2.5733699999999997</v>
      </c>
      <c r="G63" s="292"/>
      <c r="H63" s="293">
        <f t="shared" si="1"/>
        <v>2.3109299999999999</v>
      </c>
      <c r="J63" s="296">
        <f>+'Tabel 2025 52 weken incl. 27'!J63</f>
        <v>0.91100000000000003</v>
      </c>
      <c r="K63" s="141"/>
      <c r="L63" s="295">
        <f t="shared" si="2"/>
        <v>0.94250999999999963</v>
      </c>
      <c r="M63" s="294"/>
      <c r="N63" s="295">
        <f t="shared" si="3"/>
        <v>0.84638999999999964</v>
      </c>
      <c r="P63" s="255"/>
    </row>
    <row r="64" spans="1:16" ht="15.75" thickBot="1">
      <c r="A64" s="256">
        <f>+'Tabel 2025 52 weken incl. 27'!A64</f>
        <v>88708</v>
      </c>
      <c r="B64" s="256">
        <f>+'Tabel 2025 52 weken incl. 27'!B64</f>
        <v>92360</v>
      </c>
      <c r="D64" s="142">
        <f>+'Tabel 2025 52 weken incl. 27'!D64</f>
        <v>0.73499999999999999</v>
      </c>
      <c r="E64" s="140"/>
      <c r="F64" s="293">
        <f t="shared" si="0"/>
        <v>2.8063500000000001</v>
      </c>
      <c r="G64" s="292"/>
      <c r="H64" s="293">
        <f t="shared" si="1"/>
        <v>2.5201500000000001</v>
      </c>
      <c r="J64" s="296">
        <f>+'Tabel 2025 52 weken incl. 27'!J64</f>
        <v>0.90400000000000003</v>
      </c>
      <c r="K64" s="141"/>
      <c r="L64" s="295">
        <f t="shared" si="2"/>
        <v>1.0166399999999998</v>
      </c>
      <c r="M64" s="294"/>
      <c r="N64" s="295">
        <f t="shared" si="3"/>
        <v>0.91295999999999977</v>
      </c>
      <c r="P64" s="255"/>
    </row>
    <row r="65" spans="1:16" ht="15.75" thickBot="1">
      <c r="A65" s="256">
        <f>+'Tabel 2025 52 weken incl. 27'!A65</f>
        <v>92361</v>
      </c>
      <c r="B65" s="256">
        <f>+'Tabel 2025 52 weken incl. 27'!B65</f>
        <v>96010</v>
      </c>
      <c r="D65" s="142">
        <f>+'Tabel 2025 52 weken incl. 27'!D65</f>
        <v>0.71099999999999997</v>
      </c>
      <c r="E65" s="140"/>
      <c r="F65" s="293">
        <f t="shared" si="0"/>
        <v>3.0605100000000003</v>
      </c>
      <c r="G65" s="292"/>
      <c r="H65" s="293">
        <f t="shared" si="1"/>
        <v>2.7483900000000001</v>
      </c>
      <c r="J65" s="296">
        <f>+'Tabel 2025 52 weken incl. 27'!J65</f>
        <v>0.89800000000000002</v>
      </c>
      <c r="K65" s="141"/>
      <c r="L65" s="295">
        <f t="shared" si="2"/>
        <v>1.0801799999999997</v>
      </c>
      <c r="M65" s="294"/>
      <c r="N65" s="295">
        <f t="shared" si="3"/>
        <v>0.97001999999999977</v>
      </c>
      <c r="P65" s="255"/>
    </row>
    <row r="66" spans="1:16" ht="15.75" thickBot="1">
      <c r="A66" s="256">
        <f>+'Tabel 2025 52 weken incl. 27'!A66</f>
        <v>96011</v>
      </c>
      <c r="B66" s="256">
        <f>+'Tabel 2025 52 weken incl. 27'!B66</f>
        <v>99667</v>
      </c>
      <c r="D66" s="142">
        <f>+'Tabel 2025 52 weken incl. 27'!D66</f>
        <v>0.68899999999999995</v>
      </c>
      <c r="E66" s="140"/>
      <c r="F66" s="293">
        <f t="shared" si="0"/>
        <v>3.2934900000000007</v>
      </c>
      <c r="G66" s="292"/>
      <c r="H66" s="293">
        <f t="shared" si="1"/>
        <v>2.9576100000000003</v>
      </c>
      <c r="J66" s="296">
        <f>+'Tabel 2025 52 weken incl. 27'!J66</f>
        <v>0.89400000000000002</v>
      </c>
      <c r="K66" s="141"/>
      <c r="L66" s="295">
        <f t="shared" si="2"/>
        <v>1.1225399999999999</v>
      </c>
      <c r="M66" s="294"/>
      <c r="N66" s="295">
        <f t="shared" si="3"/>
        <v>1.0080599999999997</v>
      </c>
      <c r="P66" s="255"/>
    </row>
    <row r="67" spans="1:16" ht="15.75" thickBot="1">
      <c r="A67" s="256">
        <f>+'Tabel 2025 52 weken incl. 27'!A67</f>
        <v>99668</v>
      </c>
      <c r="B67" s="256">
        <f>+'Tabel 2025 52 weken incl. 27'!B67</f>
        <v>103318</v>
      </c>
      <c r="D67" s="142">
        <f>+'Tabel 2025 52 weken incl. 27'!D67</f>
        <v>0.66400000000000003</v>
      </c>
      <c r="E67" s="140"/>
      <c r="F67" s="293">
        <f t="shared" si="0"/>
        <v>3.5582399999999996</v>
      </c>
      <c r="G67" s="292"/>
      <c r="H67" s="293">
        <f t="shared" si="1"/>
        <v>3.1953599999999995</v>
      </c>
      <c r="J67" s="296">
        <f>+'Tabel 2025 52 weken incl. 27'!J67</f>
        <v>0.89100000000000001</v>
      </c>
      <c r="K67" s="141"/>
      <c r="L67" s="295">
        <f t="shared" si="2"/>
        <v>1.1543099999999997</v>
      </c>
      <c r="M67" s="294"/>
      <c r="N67" s="295">
        <f t="shared" si="3"/>
        <v>1.0365899999999999</v>
      </c>
      <c r="P67" s="255"/>
    </row>
    <row r="68" spans="1:16" ht="15.75" thickBot="1">
      <c r="A68" s="256">
        <f>+'Tabel 2025 52 weken incl. 27'!A68</f>
        <v>103319</v>
      </c>
      <c r="B68" s="256">
        <f>+'Tabel 2025 52 weken incl. 27'!B68</f>
        <v>106968</v>
      </c>
      <c r="D68" s="142">
        <f>+'Tabel 2025 52 weken incl. 27'!D68</f>
        <v>0.64100000000000001</v>
      </c>
      <c r="E68" s="140"/>
      <c r="F68" s="293">
        <f t="shared" si="0"/>
        <v>3.8018099999999997</v>
      </c>
      <c r="G68" s="292"/>
      <c r="H68" s="293">
        <f t="shared" si="1"/>
        <v>3.4140899999999998</v>
      </c>
      <c r="J68" s="296">
        <f>+'Tabel 2025 52 weken incl. 27'!J68</f>
        <v>0.88400000000000001</v>
      </c>
      <c r="K68" s="141"/>
      <c r="L68" s="295">
        <f t="shared" si="2"/>
        <v>1.22844</v>
      </c>
      <c r="M68" s="294"/>
      <c r="N68" s="295">
        <f t="shared" si="3"/>
        <v>1.1031599999999999</v>
      </c>
      <c r="P68" s="255"/>
    </row>
    <row r="69" spans="1:16" ht="15.75" thickBot="1">
      <c r="A69" s="256">
        <f>+'Tabel 2025 52 weken incl. 27'!A69</f>
        <v>106969</v>
      </c>
      <c r="B69" s="256">
        <f>+'Tabel 2025 52 weken incl. 27'!B69</f>
        <v>110621</v>
      </c>
      <c r="D69" s="142">
        <f>+'Tabel 2025 52 weken incl. 27'!D69</f>
        <v>0.61899999999999999</v>
      </c>
      <c r="E69" s="140"/>
      <c r="F69" s="293">
        <f t="shared" si="0"/>
        <v>4.0347900000000001</v>
      </c>
      <c r="G69" s="292"/>
      <c r="H69" s="293">
        <f t="shared" si="1"/>
        <v>3.62331</v>
      </c>
      <c r="J69" s="296">
        <f>+'Tabel 2025 52 weken incl. 27'!J69</f>
        <v>0.88</v>
      </c>
      <c r="K69" s="141"/>
      <c r="L69" s="295">
        <f t="shared" si="2"/>
        <v>1.2707999999999999</v>
      </c>
      <c r="M69" s="294"/>
      <c r="N69" s="295">
        <f t="shared" si="3"/>
        <v>1.1412</v>
      </c>
      <c r="P69" s="255"/>
    </row>
    <row r="70" spans="1:16" ht="15.75" thickBot="1">
      <c r="A70" s="256">
        <f>+'Tabel 2025 52 weken incl. 27'!A70</f>
        <v>110622</v>
      </c>
      <c r="B70" s="256">
        <f>+'Tabel 2025 52 weken incl. 27'!B70</f>
        <v>114344</v>
      </c>
      <c r="D70" s="142">
        <f>+'Tabel 2025 52 weken incl. 27'!D70</f>
        <v>0.59499999999999997</v>
      </c>
      <c r="E70" s="140"/>
      <c r="F70" s="293">
        <f t="shared" si="0"/>
        <v>4.2889499999999998</v>
      </c>
      <c r="G70" s="292"/>
      <c r="H70" s="293">
        <f t="shared" si="1"/>
        <v>3.85155</v>
      </c>
      <c r="J70" s="296">
        <f>+'Tabel 2025 52 weken incl. 27'!J70</f>
        <v>0.875</v>
      </c>
      <c r="K70" s="141"/>
      <c r="L70" s="295">
        <f t="shared" si="2"/>
        <v>1.32375</v>
      </c>
      <c r="M70" s="294"/>
      <c r="N70" s="295">
        <f t="shared" si="3"/>
        <v>1.18875</v>
      </c>
      <c r="P70" s="255"/>
    </row>
    <row r="71" spans="1:16" ht="15.75" thickBot="1">
      <c r="A71" s="256">
        <f>+'Tabel 2025 52 weken incl. 27'!A71</f>
        <v>114345</v>
      </c>
      <c r="B71" s="256">
        <f>+'Tabel 2025 52 weken incl. 27'!B71</f>
        <v>118086</v>
      </c>
      <c r="D71" s="142">
        <f>+'Tabel 2025 52 weken incl. 27'!D71</f>
        <v>0.57399999999999995</v>
      </c>
      <c r="E71" s="140"/>
      <c r="F71" s="293">
        <f t="shared" si="0"/>
        <v>4.5113400000000006</v>
      </c>
      <c r="G71" s="292"/>
      <c r="H71" s="293">
        <f t="shared" si="1"/>
        <v>4.0512600000000001</v>
      </c>
      <c r="J71" s="296">
        <f>+'Tabel 2025 52 weken incl. 27'!J71</f>
        <v>0.86799999999999999</v>
      </c>
      <c r="K71" s="141"/>
      <c r="L71" s="295">
        <f t="shared" si="2"/>
        <v>1.39788</v>
      </c>
      <c r="M71" s="294"/>
      <c r="N71" s="295">
        <f t="shared" si="3"/>
        <v>1.25532</v>
      </c>
      <c r="P71" s="255"/>
    </row>
    <row r="72" spans="1:16" ht="15.75" thickBot="1">
      <c r="A72" s="256">
        <f>+'Tabel 2025 52 weken incl. 27'!A72</f>
        <v>118087</v>
      </c>
      <c r="B72" s="256">
        <f>+'Tabel 2025 52 weken incl. 27'!B72</f>
        <v>121825</v>
      </c>
      <c r="D72" s="142">
        <f>+'Tabel 2025 52 weken incl. 27'!D72</f>
        <v>0.55300000000000005</v>
      </c>
      <c r="E72" s="140"/>
      <c r="F72" s="293">
        <f t="shared" si="0"/>
        <v>4.7337299999999995</v>
      </c>
      <c r="G72" s="292"/>
      <c r="H72" s="293">
        <f t="shared" si="1"/>
        <v>4.2509699999999997</v>
      </c>
      <c r="J72" s="296">
        <f>+'Tabel 2025 52 weken incl. 27'!J72</f>
        <v>0.86299999999999999</v>
      </c>
      <c r="K72" s="141"/>
      <c r="L72" s="295">
        <f t="shared" si="2"/>
        <v>1.4508300000000001</v>
      </c>
      <c r="M72" s="294"/>
      <c r="N72" s="295">
        <f t="shared" si="3"/>
        <v>1.30287</v>
      </c>
      <c r="P72" s="255"/>
    </row>
    <row r="73" spans="1:16" ht="15.75" thickBot="1">
      <c r="A73" s="256">
        <f>+'Tabel 2025 52 weken incl. 27'!A73</f>
        <v>121826</v>
      </c>
      <c r="B73" s="256">
        <f>+'Tabel 2025 52 weken incl. 27'!B73</f>
        <v>125565</v>
      </c>
      <c r="D73" s="142">
        <f>+'Tabel 2025 52 weken incl. 27'!D73</f>
        <v>0.53200000000000003</v>
      </c>
      <c r="E73" s="140"/>
      <c r="F73" s="293">
        <f t="shared" si="0"/>
        <v>4.9561199999999994</v>
      </c>
      <c r="G73" s="292"/>
      <c r="H73" s="293">
        <f t="shared" si="1"/>
        <v>4.4506799999999993</v>
      </c>
      <c r="J73" s="296">
        <f>+'Tabel 2025 52 weken incl. 27'!J73</f>
        <v>0.85899999999999999</v>
      </c>
      <c r="K73" s="141"/>
      <c r="L73" s="295">
        <f t="shared" si="2"/>
        <v>1.4931900000000002</v>
      </c>
      <c r="M73" s="294"/>
      <c r="N73" s="295">
        <f t="shared" si="3"/>
        <v>1.34091</v>
      </c>
      <c r="P73" s="255"/>
    </row>
    <row r="74" spans="1:16" ht="15.75" thickBot="1">
      <c r="A74" s="256">
        <f>+'Tabel 2025 52 weken incl. 27'!A74</f>
        <v>125566</v>
      </c>
      <c r="B74" s="256">
        <f>+'Tabel 2025 52 weken incl. 27'!B74</f>
        <v>129303</v>
      </c>
      <c r="D74" s="142">
        <f>+'Tabel 2025 52 weken incl. 27'!D74</f>
        <v>0.51</v>
      </c>
      <c r="E74" s="140"/>
      <c r="F74" s="293">
        <f t="shared" si="0"/>
        <v>5.1890999999999998</v>
      </c>
      <c r="G74" s="292"/>
      <c r="H74" s="293">
        <f t="shared" si="1"/>
        <v>4.6598999999999995</v>
      </c>
      <c r="J74" s="296">
        <f>+'Tabel 2025 52 weken incl. 27'!J74</f>
        <v>0.85599999999999998</v>
      </c>
      <c r="K74" s="141"/>
      <c r="L74" s="295">
        <f t="shared" si="2"/>
        <v>1.5249600000000001</v>
      </c>
      <c r="M74" s="294"/>
      <c r="N74" s="295">
        <f t="shared" si="3"/>
        <v>1.3694400000000002</v>
      </c>
      <c r="P74" s="255"/>
    </row>
    <row r="75" spans="1:16" ht="15.75" thickBot="1">
      <c r="A75" s="256">
        <f>+'Tabel 2025 52 weken incl. 27'!A75</f>
        <v>129304</v>
      </c>
      <c r="B75" s="256">
        <f>+'Tabel 2025 52 weken incl. 27'!B75</f>
        <v>133045</v>
      </c>
      <c r="D75" s="142">
        <f>+'Tabel 2025 52 weken incl. 27'!D75</f>
        <v>0.49099999999999999</v>
      </c>
      <c r="E75" s="140"/>
      <c r="F75" s="293">
        <f t="shared" si="0"/>
        <v>5.3903100000000004</v>
      </c>
      <c r="G75" s="292"/>
      <c r="H75" s="293">
        <f t="shared" si="1"/>
        <v>4.8405899999999997</v>
      </c>
      <c r="J75" s="296">
        <f>+'Tabel 2025 52 weken incl. 27'!J75</f>
        <v>0.84899999999999998</v>
      </c>
      <c r="K75" s="141"/>
      <c r="L75" s="295">
        <f t="shared" si="2"/>
        <v>1.5990900000000001</v>
      </c>
      <c r="M75" s="294"/>
      <c r="N75" s="295">
        <f t="shared" si="3"/>
        <v>1.4360100000000002</v>
      </c>
      <c r="P75" s="255"/>
    </row>
    <row r="76" spans="1:16" ht="15.75" thickBot="1">
      <c r="A76" s="256">
        <f>+'Tabel 2025 52 weken incl. 27'!A76</f>
        <v>133046</v>
      </c>
      <c r="B76" s="256">
        <f>+'Tabel 2025 52 weken incl. 27'!B76</f>
        <v>136786</v>
      </c>
      <c r="D76" s="142">
        <f>+'Tabel 2025 52 weken incl. 27'!D76</f>
        <v>0.47199999999999998</v>
      </c>
      <c r="E76" s="140"/>
      <c r="F76" s="293">
        <f t="shared" si="0"/>
        <v>5.59152</v>
      </c>
      <c r="G76" s="292"/>
      <c r="H76" s="293">
        <f t="shared" si="1"/>
        <v>5.02128</v>
      </c>
      <c r="J76" s="296">
        <f>+'Tabel 2025 52 weken incl. 27'!J76</f>
        <v>0.84299999999999997</v>
      </c>
      <c r="K76" s="141"/>
      <c r="L76" s="295">
        <f t="shared" si="2"/>
        <v>1.6626300000000003</v>
      </c>
      <c r="M76" s="294"/>
      <c r="N76" s="295">
        <f t="shared" si="3"/>
        <v>1.4930700000000003</v>
      </c>
      <c r="P76" s="255"/>
    </row>
    <row r="77" spans="1:16" ht="15.75" thickBot="1">
      <c r="A77" s="256">
        <f>+'Tabel 2025 52 weken incl. 27'!A77</f>
        <v>136787</v>
      </c>
      <c r="B77" s="256">
        <f>+'Tabel 2025 52 weken incl. 27'!B77</f>
        <v>140528</v>
      </c>
      <c r="D77" s="142">
        <f>+'Tabel 2025 52 weken incl. 27'!D77</f>
        <v>0.45300000000000001</v>
      </c>
      <c r="E77" s="140"/>
      <c r="F77" s="293">
        <f t="shared" si="0"/>
        <v>5.7927299999999988</v>
      </c>
      <c r="G77" s="292"/>
      <c r="H77" s="293">
        <f t="shared" si="1"/>
        <v>5.2019699999999993</v>
      </c>
      <c r="J77" s="296">
        <f>+'Tabel 2025 52 weken incl. 27'!J77</f>
        <v>0.83899999999999997</v>
      </c>
      <c r="K77" s="141"/>
      <c r="L77" s="295">
        <f t="shared" si="2"/>
        <v>1.7049900000000002</v>
      </c>
      <c r="M77" s="294"/>
      <c r="N77" s="295">
        <f t="shared" si="3"/>
        <v>1.5311100000000002</v>
      </c>
      <c r="P77" s="255"/>
    </row>
    <row r="78" spans="1:16" ht="15.75" thickBot="1">
      <c r="A78" s="256">
        <f>+'Tabel 2025 52 weken incl. 27'!A78</f>
        <v>140529</v>
      </c>
      <c r="B78" s="256">
        <f>+'Tabel 2025 52 weken incl. 27'!B78</f>
        <v>144264</v>
      </c>
      <c r="D78" s="142">
        <f>+'Tabel 2025 52 weken incl. 27'!D78</f>
        <v>0.433</v>
      </c>
      <c r="E78" s="140"/>
      <c r="F78" s="293">
        <f t="shared" si="0"/>
        <v>6.004529999999999</v>
      </c>
      <c r="G78" s="292"/>
      <c r="H78" s="293">
        <f t="shared" si="1"/>
        <v>5.3921699999999992</v>
      </c>
      <c r="J78" s="296">
        <f>+'Tabel 2025 52 weken incl. 27'!J78</f>
        <v>0.83299999999999996</v>
      </c>
      <c r="K78" s="141"/>
      <c r="L78" s="295">
        <f t="shared" si="2"/>
        <v>1.7685300000000004</v>
      </c>
      <c r="M78" s="294"/>
      <c r="N78" s="295">
        <f t="shared" si="3"/>
        <v>1.5881700000000003</v>
      </c>
      <c r="O78" s="106"/>
      <c r="P78" s="255"/>
    </row>
    <row r="79" spans="1:16" ht="15.75" thickBot="1">
      <c r="A79" s="256">
        <f>+'Tabel 2025 52 weken incl. 27'!A79</f>
        <v>144265</v>
      </c>
      <c r="B79" s="256">
        <f>+'Tabel 2025 52 weken incl. 27'!B79</f>
        <v>148003</v>
      </c>
      <c r="D79" s="142">
        <f>+'Tabel 2025 52 weken incl. 27'!D79</f>
        <v>0.41299999999999998</v>
      </c>
      <c r="E79" s="140"/>
      <c r="F79" s="293">
        <f t="shared" si="0"/>
        <v>6.2163299999999992</v>
      </c>
      <c r="G79" s="292"/>
      <c r="H79" s="293">
        <f t="shared" si="1"/>
        <v>5.5823699999999992</v>
      </c>
      <c r="J79" s="296">
        <f>+'Tabel 2025 52 weken incl. 27'!J79</f>
        <v>0.82899999999999996</v>
      </c>
      <c r="K79" s="141"/>
      <c r="L79" s="295">
        <f t="shared" si="2"/>
        <v>1.8108900000000003</v>
      </c>
      <c r="M79" s="294"/>
      <c r="N79" s="295">
        <f t="shared" si="3"/>
        <v>1.6262100000000004</v>
      </c>
      <c r="P79" s="255"/>
    </row>
    <row r="80" spans="1:16" ht="15.75" thickBot="1">
      <c r="A80" s="256">
        <f>+'Tabel 2025 52 weken incl. 27'!A80</f>
        <v>148004</v>
      </c>
      <c r="B80" s="256">
        <f>+'Tabel 2025 52 weken incl. 27'!B80</f>
        <v>151746</v>
      </c>
      <c r="D80" s="142">
        <f>+'Tabel 2025 52 weken incl. 27'!D80</f>
        <v>0.39300000000000002</v>
      </c>
      <c r="E80" s="140"/>
      <c r="F80" s="293">
        <f t="shared" si="0"/>
        <v>6.4281299999999995</v>
      </c>
      <c r="G80" s="292"/>
      <c r="H80" s="293">
        <f t="shared" si="1"/>
        <v>5.77257</v>
      </c>
      <c r="J80" s="296">
        <f>+'Tabel 2025 52 weken incl. 27'!J80</f>
        <v>0.82199999999999995</v>
      </c>
      <c r="K80" s="141"/>
      <c r="L80" s="295">
        <f t="shared" si="2"/>
        <v>1.8850200000000006</v>
      </c>
      <c r="M80" s="294"/>
      <c r="N80" s="295">
        <f t="shared" si="3"/>
        <v>1.6927800000000004</v>
      </c>
      <c r="P80" s="255"/>
    </row>
    <row r="81" spans="1:16" ht="15.75" thickBot="1">
      <c r="A81" s="256">
        <f>+'Tabel 2025 52 weken incl. 27'!A81</f>
        <v>151747</v>
      </c>
      <c r="B81" s="256">
        <f>+'Tabel 2025 52 weken incl. 27'!B81</f>
        <v>155484</v>
      </c>
      <c r="D81" s="142">
        <f>+'Tabel 2025 52 weken incl. 27'!D81</f>
        <v>0.373</v>
      </c>
      <c r="E81" s="140"/>
      <c r="F81" s="293">
        <f t="shared" si="0"/>
        <v>6.6399299999999997</v>
      </c>
      <c r="G81" s="292"/>
      <c r="H81" s="293">
        <f t="shared" si="1"/>
        <v>5.9627699999999999</v>
      </c>
      <c r="J81" s="296">
        <f>+'Tabel 2025 52 weken incl. 27'!J81</f>
        <v>0.81599999999999995</v>
      </c>
      <c r="K81" s="141"/>
      <c r="L81" s="295">
        <f t="shared" si="2"/>
        <v>1.9485600000000005</v>
      </c>
      <c r="M81" s="294"/>
      <c r="N81" s="295">
        <f t="shared" si="3"/>
        <v>1.7498400000000005</v>
      </c>
      <c r="P81" s="255"/>
    </row>
    <row r="82" spans="1:16" ht="15.75" thickBot="1">
      <c r="A82" s="256">
        <f>+'Tabel 2025 52 weken incl. 27'!A82</f>
        <v>155485</v>
      </c>
      <c r="B82" s="256">
        <f>+'Tabel 2025 52 weken incl. 27'!B82</f>
        <v>159224</v>
      </c>
      <c r="D82" s="142">
        <f>+'Tabel 2025 52 weken incl. 27'!D82</f>
        <v>0.35299999999999998</v>
      </c>
      <c r="E82" s="140"/>
      <c r="F82" s="293">
        <f t="shared" si="0"/>
        <v>6.8517299999999999</v>
      </c>
      <c r="G82" s="292"/>
      <c r="H82" s="293">
        <f t="shared" si="1"/>
        <v>6.1529699999999998</v>
      </c>
      <c r="J82" s="296">
        <f>+'Tabel 2025 52 weken incl. 27'!J82</f>
        <v>0.80600000000000005</v>
      </c>
      <c r="K82" s="141"/>
      <c r="L82" s="295">
        <f t="shared" si="2"/>
        <v>2.0544599999999993</v>
      </c>
      <c r="M82" s="294"/>
      <c r="N82" s="295">
        <f t="shared" si="3"/>
        <v>1.8449399999999996</v>
      </c>
      <c r="P82" s="255"/>
    </row>
    <row r="83" spans="1:16" ht="15.75" thickBot="1">
      <c r="A83" s="256">
        <f>+'Tabel 2025 52 weken incl. 27'!A83</f>
        <v>159225</v>
      </c>
      <c r="B83" s="256">
        <f>+'Tabel 2025 52 weken incl. 27'!B83</f>
        <v>162963</v>
      </c>
      <c r="D83" s="142">
        <f>+'Tabel 2025 52 weken incl. 27'!D83</f>
        <v>0.33300000000000002</v>
      </c>
      <c r="E83" s="140"/>
      <c r="F83" s="293">
        <f t="shared" si="0"/>
        <v>7.0635300000000001</v>
      </c>
      <c r="G83" s="292"/>
      <c r="H83" s="293">
        <f t="shared" si="1"/>
        <v>6.3431700000000006</v>
      </c>
      <c r="J83" s="296">
        <f>+'Tabel 2025 52 weken incl. 27'!J83</f>
        <v>0.80300000000000005</v>
      </c>
      <c r="K83" s="141"/>
      <c r="L83" s="295">
        <f t="shared" si="2"/>
        <v>2.0862299999999996</v>
      </c>
      <c r="M83" s="294"/>
      <c r="N83" s="295">
        <f t="shared" si="3"/>
        <v>1.8734699999999995</v>
      </c>
      <c r="P83" s="255"/>
    </row>
    <row r="84" spans="1:16" ht="15.75" thickBot="1">
      <c r="A84" s="256">
        <f>+'Tabel 2025 52 weken incl. 27'!A84</f>
        <v>162964</v>
      </c>
      <c r="B84" s="256">
        <f>+'Tabel 2025 52 weken incl. 27'!B84</f>
        <v>166705</v>
      </c>
      <c r="D84" s="142">
        <f>+'Tabel 2025 52 weken incl. 27'!D84</f>
        <v>0.33300000000000002</v>
      </c>
      <c r="E84" s="140"/>
      <c r="F84" s="293">
        <f t="shared" si="0"/>
        <v>7.0635300000000001</v>
      </c>
      <c r="G84" s="292"/>
      <c r="H84" s="293">
        <f t="shared" si="1"/>
        <v>6.3431700000000006</v>
      </c>
      <c r="J84" s="296">
        <f>+'Tabel 2025 52 weken incl. 27'!J84</f>
        <v>0.79500000000000004</v>
      </c>
      <c r="K84" s="141"/>
      <c r="L84" s="295">
        <f t="shared" si="2"/>
        <v>2.1709499999999995</v>
      </c>
      <c r="M84" s="294"/>
      <c r="N84" s="295">
        <f t="shared" si="3"/>
        <v>1.9495499999999997</v>
      </c>
      <c r="P84" s="255"/>
    </row>
    <row r="85" spans="1:16" ht="15.75" thickBot="1">
      <c r="A85" s="256">
        <f>+'Tabel 2025 52 weken incl. 27'!A85</f>
        <v>166706</v>
      </c>
      <c r="B85" s="256">
        <f>+'Tabel 2025 52 weken incl. 27'!B85</f>
        <v>170449</v>
      </c>
      <c r="D85" s="142">
        <f>+'Tabel 2025 52 weken incl. 27'!D85</f>
        <v>0.33300000000000002</v>
      </c>
      <c r="E85" s="140"/>
      <c r="F85" s="293">
        <f t="shared" si="0"/>
        <v>7.0635300000000001</v>
      </c>
      <c r="G85" s="292"/>
      <c r="H85" s="293">
        <f t="shared" si="1"/>
        <v>6.3431700000000006</v>
      </c>
      <c r="J85" s="296">
        <f>+'Tabel 2025 52 weken incl. 27'!J85</f>
        <v>0.78600000000000003</v>
      </c>
      <c r="K85" s="141"/>
      <c r="L85" s="295">
        <f t="shared" si="2"/>
        <v>2.2662599999999995</v>
      </c>
      <c r="M85" s="294"/>
      <c r="N85" s="295">
        <f t="shared" si="3"/>
        <v>2.0351399999999997</v>
      </c>
      <c r="P85" s="255"/>
    </row>
    <row r="86" spans="1:16" ht="15.75" thickBot="1">
      <c r="A86" s="256">
        <f>+'Tabel 2025 52 weken incl. 27'!A86</f>
        <v>170450</v>
      </c>
      <c r="B86" s="256">
        <f>+'Tabel 2025 52 weken incl. 27'!B86</f>
        <v>174186</v>
      </c>
      <c r="D86" s="142">
        <f>+'Tabel 2025 52 weken incl. 27'!D86</f>
        <v>0.33300000000000002</v>
      </c>
      <c r="E86" s="140"/>
      <c r="F86" s="293">
        <f t="shared" si="0"/>
        <v>7.0635300000000001</v>
      </c>
      <c r="G86" s="292"/>
      <c r="H86" s="293">
        <f t="shared" si="1"/>
        <v>6.3431700000000006</v>
      </c>
      <c r="J86" s="296">
        <f>+'Tabel 2025 52 weken incl. 27'!J86</f>
        <v>0.78</v>
      </c>
      <c r="K86" s="141"/>
      <c r="L86" s="295">
        <f t="shared" si="2"/>
        <v>2.3297999999999996</v>
      </c>
      <c r="M86" s="294"/>
      <c r="N86" s="295">
        <f t="shared" si="3"/>
        <v>2.0921999999999996</v>
      </c>
      <c r="P86" s="255"/>
    </row>
    <row r="87" spans="1:16" ht="15.75" thickBot="1">
      <c r="A87" s="256">
        <f>+'Tabel 2025 52 weken incl. 27'!A87</f>
        <v>174187</v>
      </c>
      <c r="B87" s="256">
        <f>+'Tabel 2025 52 weken incl. 27'!B87</f>
        <v>177926</v>
      </c>
      <c r="D87" s="142">
        <f>+'Tabel 2025 52 weken incl. 27'!D87</f>
        <v>0.33300000000000002</v>
      </c>
      <c r="E87" s="140"/>
      <c r="F87" s="293">
        <f t="shared" si="0"/>
        <v>7.0635300000000001</v>
      </c>
      <c r="G87" s="292"/>
      <c r="H87" s="293">
        <f t="shared" si="1"/>
        <v>6.3431700000000006</v>
      </c>
      <c r="J87" s="296">
        <f>+'Tabel 2025 52 weken incl. 27'!J87</f>
        <v>0.77100000000000002</v>
      </c>
      <c r="K87" s="141"/>
      <c r="L87" s="295">
        <f t="shared" si="2"/>
        <v>2.4251099999999997</v>
      </c>
      <c r="M87" s="294"/>
      <c r="N87" s="295">
        <f t="shared" si="3"/>
        <v>2.1777899999999999</v>
      </c>
      <c r="P87" s="255"/>
    </row>
    <row r="88" spans="1:16" ht="15.75" thickBot="1">
      <c r="A88" s="256">
        <f>+'Tabel 2025 52 weken incl. 27'!A88</f>
        <v>177927</v>
      </c>
      <c r="B88" s="256">
        <f>+'Tabel 2025 52 weken incl. 27'!B88</f>
        <v>181663</v>
      </c>
      <c r="D88" s="142">
        <f>+'Tabel 2025 52 weken incl. 27'!D88</f>
        <v>0.33300000000000002</v>
      </c>
      <c r="E88" s="140"/>
      <c r="F88" s="293">
        <f t="shared" si="0"/>
        <v>7.0635300000000001</v>
      </c>
      <c r="G88" s="292"/>
      <c r="H88" s="293">
        <f t="shared" si="1"/>
        <v>6.3431700000000006</v>
      </c>
      <c r="J88" s="296">
        <f>+'Tabel 2025 52 weken incl. 27'!J88</f>
        <v>0.76600000000000001</v>
      </c>
      <c r="K88" s="141"/>
      <c r="L88" s="295">
        <f t="shared" si="2"/>
        <v>2.4780599999999997</v>
      </c>
      <c r="M88" s="294"/>
      <c r="N88" s="295">
        <f t="shared" si="3"/>
        <v>2.2253399999999997</v>
      </c>
      <c r="P88" s="255"/>
    </row>
    <row r="89" spans="1:16" ht="15.75" thickBot="1">
      <c r="A89" s="256">
        <f>+'Tabel 2025 52 weken incl. 27'!A89</f>
        <v>181664</v>
      </c>
      <c r="B89" s="256">
        <f>+'Tabel 2025 52 weken incl. 27'!B89</f>
        <v>185406</v>
      </c>
      <c r="D89" s="142">
        <f>+'Tabel 2025 52 weken incl. 27'!D89</f>
        <v>0.33300000000000002</v>
      </c>
      <c r="E89" s="140"/>
      <c r="F89" s="293">
        <f t="shared" si="0"/>
        <v>7.0635300000000001</v>
      </c>
      <c r="G89" s="292"/>
      <c r="H89" s="293">
        <f t="shared" si="1"/>
        <v>6.3431700000000006</v>
      </c>
      <c r="J89" s="296">
        <f>+'Tabel 2025 52 weken incl. 27'!J89</f>
        <v>0.75800000000000001</v>
      </c>
      <c r="K89" s="141"/>
      <c r="L89" s="295">
        <f t="shared" si="2"/>
        <v>2.5627800000000001</v>
      </c>
      <c r="M89" s="294"/>
      <c r="N89" s="295">
        <f t="shared" si="3"/>
        <v>2.3014199999999998</v>
      </c>
      <c r="P89" s="255"/>
    </row>
    <row r="90" spans="1:16" ht="15.75" thickBot="1">
      <c r="A90" s="256">
        <f>+'Tabel 2025 52 weken incl. 27'!A90</f>
        <v>185407</v>
      </c>
      <c r="B90" s="256">
        <f>+'Tabel 2025 52 weken incl. 27'!B90</f>
        <v>189147</v>
      </c>
      <c r="D90" s="142">
        <f>+'Tabel 2025 52 weken incl. 27'!D90</f>
        <v>0.33300000000000002</v>
      </c>
      <c r="E90" s="140"/>
      <c r="F90" s="293">
        <f t="shared" si="0"/>
        <v>7.0635300000000001</v>
      </c>
      <c r="G90" s="292"/>
      <c r="H90" s="293">
        <f t="shared" si="1"/>
        <v>6.3431700000000006</v>
      </c>
      <c r="J90" s="296">
        <f>+'Tabel 2025 52 weken incl. 27'!J90</f>
        <v>0.751</v>
      </c>
      <c r="K90" s="141"/>
      <c r="L90" s="295">
        <f t="shared" si="2"/>
        <v>2.6369099999999999</v>
      </c>
      <c r="M90" s="294"/>
      <c r="N90" s="295">
        <f t="shared" si="3"/>
        <v>2.3679899999999998</v>
      </c>
      <c r="P90" s="255"/>
    </row>
    <row r="91" spans="1:16" ht="15.75" thickBot="1">
      <c r="A91" s="256">
        <f>+'Tabel 2025 52 weken incl. 27'!A91</f>
        <v>189148</v>
      </c>
      <c r="B91" s="256">
        <f>+'Tabel 2025 52 weken incl. 27'!B91</f>
        <v>192888</v>
      </c>
      <c r="D91" s="142">
        <f>+'Tabel 2025 52 weken incl. 27'!D91</f>
        <v>0.33300000000000002</v>
      </c>
      <c r="E91" s="140"/>
      <c r="F91" s="293">
        <f t="shared" si="0"/>
        <v>7.0635300000000001</v>
      </c>
      <c r="G91" s="292"/>
      <c r="H91" s="293">
        <f t="shared" si="1"/>
        <v>6.3431700000000006</v>
      </c>
      <c r="J91" s="296">
        <f>+'Tabel 2025 52 weken incl. 27'!J91</f>
        <v>0.74399999999999999</v>
      </c>
      <c r="K91" s="141"/>
      <c r="L91" s="295">
        <f t="shared" si="2"/>
        <v>2.7110400000000001</v>
      </c>
      <c r="M91" s="294"/>
      <c r="N91" s="295">
        <f t="shared" si="3"/>
        <v>2.4345599999999998</v>
      </c>
      <c r="P91" s="255"/>
    </row>
    <row r="92" spans="1:16" ht="15.75" thickBot="1">
      <c r="A92" s="256">
        <f>+'Tabel 2025 52 weken incl. 27'!A92</f>
        <v>192889</v>
      </c>
      <c r="B92" s="256">
        <f>+'Tabel 2025 52 weken incl. 27'!B92</f>
        <v>196627</v>
      </c>
      <c r="D92" s="142">
        <f>+'Tabel 2025 52 weken incl. 27'!D92</f>
        <v>0.33300000000000002</v>
      </c>
      <c r="E92" s="140"/>
      <c r="F92" s="293">
        <f t="shared" si="0"/>
        <v>7.0635300000000001</v>
      </c>
      <c r="G92" s="292"/>
      <c r="H92" s="293">
        <f t="shared" si="1"/>
        <v>6.3431700000000006</v>
      </c>
      <c r="J92" s="296">
        <f>+'Tabel 2025 52 weken incl. 27'!J92</f>
        <v>0.73399999999999999</v>
      </c>
      <c r="K92" s="141"/>
      <c r="L92" s="295">
        <f t="shared" si="2"/>
        <v>2.8169400000000002</v>
      </c>
      <c r="M92" s="294"/>
      <c r="N92" s="295">
        <f t="shared" si="3"/>
        <v>2.5296600000000002</v>
      </c>
      <c r="P92" s="255"/>
    </row>
    <row r="93" spans="1:16" ht="15.75" thickBot="1">
      <c r="A93" s="256">
        <f>+'Tabel 2025 52 weken incl. 27'!A93</f>
        <v>196628</v>
      </c>
      <c r="B93" s="256">
        <f>+'Tabel 2025 52 weken incl. 27'!B93</f>
        <v>200363</v>
      </c>
      <c r="D93" s="142">
        <f>+'Tabel 2025 52 weken incl. 27'!D93</f>
        <v>0.33300000000000002</v>
      </c>
      <c r="E93" s="140"/>
      <c r="F93" s="293">
        <f t="shared" si="0"/>
        <v>7.0635300000000001</v>
      </c>
      <c r="G93" s="292"/>
      <c r="H93" s="293">
        <f t="shared" si="1"/>
        <v>6.3431700000000006</v>
      </c>
      <c r="J93" s="296">
        <f>+'Tabel 2025 52 weken incl. 27'!J93</f>
        <v>0.72899999999999998</v>
      </c>
      <c r="K93" s="141"/>
      <c r="L93" s="295">
        <f t="shared" si="2"/>
        <v>2.8698900000000003</v>
      </c>
      <c r="M93" s="294"/>
      <c r="N93" s="295">
        <f t="shared" si="3"/>
        <v>2.57721</v>
      </c>
      <c r="P93" s="255"/>
    </row>
    <row r="94" spans="1:16" ht="15.75" thickBot="1">
      <c r="A94" s="256">
        <f>+'Tabel 2025 52 weken incl. 27'!A94</f>
        <v>200364</v>
      </c>
      <c r="B94" s="256">
        <f>+'Tabel 2025 52 weken incl. 27'!B94</f>
        <v>204107</v>
      </c>
      <c r="D94" s="142">
        <f>+'Tabel 2025 52 weken incl. 27'!D94</f>
        <v>0.33300000000000002</v>
      </c>
      <c r="E94" s="140"/>
      <c r="F94" s="293">
        <f t="shared" si="0"/>
        <v>7.0635300000000001</v>
      </c>
      <c r="G94" s="292"/>
      <c r="H94" s="293">
        <f t="shared" si="1"/>
        <v>6.3431700000000006</v>
      </c>
      <c r="J94" s="296">
        <f>+'Tabel 2025 52 weken incl. 27'!J94</f>
        <v>0.72199999999999998</v>
      </c>
      <c r="K94" s="141"/>
      <c r="L94" s="295">
        <f t="shared" si="2"/>
        <v>2.9440200000000001</v>
      </c>
      <c r="M94" s="294"/>
      <c r="N94" s="295">
        <f t="shared" si="3"/>
        <v>2.64378</v>
      </c>
      <c r="P94" s="255"/>
    </row>
    <row r="95" spans="1:16" ht="15.75" thickBot="1">
      <c r="A95" s="256">
        <f>+'Tabel 2025 52 weken incl. 27'!A95</f>
        <v>204108</v>
      </c>
      <c r="B95" s="256">
        <f>+'Tabel 2025 52 weken incl. 27'!B95</f>
        <v>207845</v>
      </c>
      <c r="D95" s="142">
        <f>+'Tabel 2025 52 weken incl. 27'!D95</f>
        <v>0.33300000000000002</v>
      </c>
      <c r="E95" s="140"/>
      <c r="F95" s="293">
        <f t="shared" si="0"/>
        <v>7.0635300000000001</v>
      </c>
      <c r="G95" s="292"/>
      <c r="H95" s="293">
        <f t="shared" si="1"/>
        <v>6.3431700000000006</v>
      </c>
      <c r="J95" s="296">
        <f>+'Tabel 2025 52 weken incl. 27'!J95</f>
        <v>0.71399999999999997</v>
      </c>
      <c r="K95" s="141"/>
      <c r="L95" s="295">
        <f t="shared" si="2"/>
        <v>3.0287400000000004</v>
      </c>
      <c r="M95" s="294"/>
      <c r="N95" s="295">
        <f t="shared" si="3"/>
        <v>2.7198600000000002</v>
      </c>
      <c r="P95" s="255"/>
    </row>
    <row r="96" spans="1:16" ht="15.75" thickBot="1">
      <c r="A96" s="256">
        <f>+'Tabel 2025 52 weken incl. 27'!A96</f>
        <v>207846</v>
      </c>
      <c r="B96" s="256">
        <f>+'Tabel 2025 52 weken incl. 27'!B96</f>
        <v>211586</v>
      </c>
      <c r="D96" s="142">
        <f>+'Tabel 2025 52 weken incl. 27'!D96</f>
        <v>0.33300000000000002</v>
      </c>
      <c r="E96" s="140"/>
      <c r="F96" s="293">
        <f t="shared" si="0"/>
        <v>7.0635300000000001</v>
      </c>
      <c r="G96" s="292"/>
      <c r="H96" s="293">
        <f t="shared" si="1"/>
        <v>6.3431700000000006</v>
      </c>
      <c r="J96" s="296">
        <f>+'Tabel 2025 52 weken incl. 27'!J96</f>
        <v>0.70699999999999996</v>
      </c>
      <c r="K96" s="141"/>
      <c r="L96" s="295">
        <f t="shared" si="2"/>
        <v>3.1028700000000002</v>
      </c>
      <c r="M96" s="294"/>
      <c r="N96" s="295">
        <f t="shared" si="3"/>
        <v>2.7864300000000002</v>
      </c>
      <c r="P96" s="255"/>
    </row>
    <row r="97" spans="1:16" ht="15.75" thickBot="1">
      <c r="A97" s="256">
        <f>+'Tabel 2025 52 weken incl. 27'!A97</f>
        <v>211587</v>
      </c>
      <c r="B97" s="256">
        <f>+'Tabel 2025 52 weken incl. 27'!B97</f>
        <v>215327</v>
      </c>
      <c r="D97" s="142">
        <f>+'Tabel 2025 52 weken incl. 27'!D97</f>
        <v>0.33300000000000002</v>
      </c>
      <c r="E97" s="140"/>
      <c r="F97" s="293">
        <f t="shared" si="0"/>
        <v>7.0635300000000001</v>
      </c>
      <c r="G97" s="292"/>
      <c r="H97" s="293">
        <f t="shared" si="1"/>
        <v>6.3431700000000006</v>
      </c>
      <c r="J97" s="296">
        <f>+'Tabel 2025 52 weken incl. 27'!J97</f>
        <v>0.70099999999999996</v>
      </c>
      <c r="K97" s="141"/>
      <c r="L97" s="295">
        <f t="shared" si="2"/>
        <v>3.1664100000000004</v>
      </c>
      <c r="M97" s="294"/>
      <c r="N97" s="295">
        <f t="shared" si="3"/>
        <v>2.8434900000000005</v>
      </c>
      <c r="P97" s="255"/>
    </row>
    <row r="98" spans="1:16" ht="15.75" thickBot="1">
      <c r="A98" s="256">
        <f>+'Tabel 2025 52 weken incl. 27'!A98</f>
        <v>215328</v>
      </c>
      <c r="B98" s="256">
        <f>+'Tabel 2025 52 weken incl. 27'!B98</f>
        <v>219065</v>
      </c>
      <c r="D98" s="142">
        <f>+'Tabel 2025 52 weken incl. 27'!D98</f>
        <v>0.33300000000000002</v>
      </c>
      <c r="E98" s="140"/>
      <c r="F98" s="293">
        <f t="shared" ref="F98:F101" si="4">IF($D$19&gt;=$F$28,($F$28*(100%-D98))+($F$19),$D$19*(100%-D98)+$F$19)</f>
        <v>7.0635300000000001</v>
      </c>
      <c r="G98" s="292"/>
      <c r="H98" s="293">
        <f t="shared" ref="H98:H101" si="5">IF($D$20&gt;=$H$28,($H$28*(100%-D98))+($F$20),$D$20*(100%-D98)+($F$20))</f>
        <v>6.3431700000000006</v>
      </c>
      <c r="J98" s="296">
        <f>+'Tabel 2025 52 weken incl. 27'!J98</f>
        <v>0.69299999999999995</v>
      </c>
      <c r="K98" s="141"/>
      <c r="L98" s="295">
        <f t="shared" ref="L98:L101" si="6">IF($D$19&gt;=$L$28,($L$28*(100%-J98))+(F$19),$D$19*(100%-J98)+$F$19)</f>
        <v>3.2511300000000003</v>
      </c>
      <c r="M98" s="294"/>
      <c r="N98" s="295">
        <f t="shared" ref="N98:N101" si="7">IF($D$20&gt;=$H$28,($H$28*(100%-J98))+($F$20),$D$20*(100%-J98)+($F$20))</f>
        <v>2.9195700000000002</v>
      </c>
      <c r="P98" s="255"/>
    </row>
    <row r="99" spans="1:16" ht="15.75" thickBot="1">
      <c r="A99" s="256">
        <f>+'Tabel 2025 52 weken incl. 27'!A99</f>
        <v>219066</v>
      </c>
      <c r="B99" s="256">
        <f>+'Tabel 2025 52 weken incl. 27'!B99</f>
        <v>222806</v>
      </c>
      <c r="D99" s="142">
        <f>+'Tabel 2025 52 weken incl. 27'!D99</f>
        <v>0.33300000000000002</v>
      </c>
      <c r="E99" s="140"/>
      <c r="F99" s="293">
        <f t="shared" si="4"/>
        <v>7.0635300000000001</v>
      </c>
      <c r="G99" s="292"/>
      <c r="H99" s="293">
        <f t="shared" si="5"/>
        <v>6.3431700000000006</v>
      </c>
      <c r="J99" s="296">
        <f>+'Tabel 2025 52 weken incl. 27'!J99</f>
        <v>0.68500000000000005</v>
      </c>
      <c r="K99" s="141"/>
      <c r="L99" s="295">
        <f t="shared" si="6"/>
        <v>3.3358499999999993</v>
      </c>
      <c r="M99" s="294"/>
      <c r="N99" s="295">
        <f t="shared" si="7"/>
        <v>2.9956499999999995</v>
      </c>
      <c r="P99" s="255"/>
    </row>
    <row r="100" spans="1:16" ht="15.75" thickBot="1">
      <c r="A100" s="256">
        <f>+'Tabel 2025 52 weken incl. 27'!A100</f>
        <v>222807</v>
      </c>
      <c r="B100" s="256">
        <f>+'Tabel 2025 52 weken incl. 27'!B100</f>
        <v>226545</v>
      </c>
      <c r="D100" s="142">
        <f>+'Tabel 2025 52 weken incl. 27'!D100</f>
        <v>0.33300000000000002</v>
      </c>
      <c r="E100" s="140"/>
      <c r="F100" s="293">
        <f t="shared" si="4"/>
        <v>7.0635300000000001</v>
      </c>
      <c r="G100" s="292"/>
      <c r="H100" s="293">
        <f t="shared" si="5"/>
        <v>6.3431700000000006</v>
      </c>
      <c r="J100" s="296">
        <f>+'Tabel 2025 52 weken incl. 27'!J100</f>
        <v>0.68</v>
      </c>
      <c r="K100" s="141"/>
      <c r="L100" s="295">
        <f t="shared" si="6"/>
        <v>3.3887999999999994</v>
      </c>
      <c r="M100" s="294"/>
      <c r="N100" s="295">
        <f t="shared" si="7"/>
        <v>3.0431999999999997</v>
      </c>
      <c r="P100" s="255"/>
    </row>
    <row r="101" spans="1:16" ht="15.75" thickBot="1">
      <c r="A101" s="256">
        <f>+'Tabel 2025 52 weken incl. 27'!A101</f>
        <v>226546</v>
      </c>
      <c r="B101" s="256" t="str">
        <f>+'Tabel 2025 52 weken incl. 27'!B101</f>
        <v>en hoger</v>
      </c>
      <c r="D101" s="142">
        <f>+'Tabel 2025 52 weken incl. 27'!D101</f>
        <v>0.33300000000000002</v>
      </c>
      <c r="E101" s="140"/>
      <c r="F101" s="293">
        <f t="shared" si="4"/>
        <v>7.0635300000000001</v>
      </c>
      <c r="G101" s="292"/>
      <c r="H101" s="293">
        <f t="shared" si="5"/>
        <v>6.3431700000000006</v>
      </c>
      <c r="J101" s="296">
        <f>+'Tabel 2025 52 weken incl. 27'!J101</f>
        <v>0.67100000000000004</v>
      </c>
      <c r="K101" s="141"/>
      <c r="L101" s="295">
        <f t="shared" si="6"/>
        <v>3.4841099999999994</v>
      </c>
      <c r="M101" s="294"/>
      <c r="N101" s="295">
        <f t="shared" si="7"/>
        <v>3.1287899999999995</v>
      </c>
      <c r="P101" s="255"/>
    </row>
    <row r="103" spans="1:16">
      <c r="F103" s="80">
        <f>SUM(F33:F101)</f>
        <v>253.39752000000021</v>
      </c>
      <c r="H103" s="80">
        <f>SUM(H33:H101)</f>
        <v>227.55527999999981</v>
      </c>
      <c r="J103" s="80"/>
      <c r="L103" s="80">
        <f>SUM(L33:L101)</f>
        <v>98.243429999999975</v>
      </c>
      <c r="N103" s="80">
        <f>SUM(N33:N101)</f>
        <v>88.224270000000004</v>
      </c>
    </row>
    <row r="104" spans="1:16">
      <c r="A104" s="321">
        <f>+SUM(A33:B101)+SUM(D33:D101)+SUM(J33:J101)</f>
        <v>14882092.795</v>
      </c>
      <c r="B104" s="321"/>
    </row>
    <row r="105" spans="1:16">
      <c r="A105" s="107"/>
    </row>
    <row r="106" spans="1:16">
      <c r="A106" s="107"/>
    </row>
    <row r="110" spans="1:16" ht="15.75">
      <c r="A110" s="136"/>
      <c r="B110" s="137"/>
      <c r="C110" s="135"/>
      <c r="D110" s="135"/>
    </row>
    <row r="111" spans="1:16" ht="15.75">
      <c r="A111" s="137"/>
      <c r="B111" s="137"/>
      <c r="C111" s="135"/>
      <c r="D111" s="135"/>
    </row>
    <row r="112" spans="1:16" ht="15.75">
      <c r="A112" s="137"/>
      <c r="B112" s="137"/>
      <c r="C112" s="135"/>
      <c r="D112" s="135"/>
    </row>
    <row r="113" spans="1:10" ht="15.75">
      <c r="A113" s="137"/>
      <c r="B113" s="137"/>
      <c r="C113" s="135"/>
      <c r="D113" s="135"/>
    </row>
    <row r="114" spans="1:10" ht="15.75">
      <c r="A114" s="137"/>
      <c r="B114" s="137"/>
      <c r="C114" s="135"/>
      <c r="D114" s="135"/>
    </row>
    <row r="115" spans="1:10" ht="15.75">
      <c r="A115" s="137"/>
      <c r="B115" s="137"/>
      <c r="C115" s="135"/>
      <c r="D115" s="135"/>
      <c r="F115"/>
      <c r="H115"/>
      <c r="J115"/>
    </row>
    <row r="116" spans="1:10" ht="15.75">
      <c r="A116" s="137"/>
      <c r="B116" s="137"/>
      <c r="C116" s="135"/>
      <c r="D116" s="135"/>
      <c r="F116"/>
      <c r="H116"/>
      <c r="J116"/>
    </row>
    <row r="117" spans="1:10" ht="15.75">
      <c r="A117" s="137"/>
      <c r="B117" s="137"/>
      <c r="C117" s="135"/>
      <c r="D117" s="135"/>
      <c r="F117"/>
      <c r="H117"/>
      <c r="J117"/>
    </row>
    <row r="118" spans="1:10" ht="15.75">
      <c r="A118" s="137"/>
      <c r="B118" s="137"/>
      <c r="C118" s="135"/>
      <c r="D118" s="135"/>
      <c r="F118"/>
      <c r="H118"/>
      <c r="J118"/>
    </row>
    <row r="119" spans="1:10" ht="15.75">
      <c r="A119" s="137"/>
      <c r="B119" s="137"/>
      <c r="C119" s="135"/>
      <c r="D119" s="135"/>
      <c r="F119"/>
      <c r="H119"/>
      <c r="J119"/>
    </row>
    <row r="120" spans="1:10" ht="15.75">
      <c r="A120" s="137"/>
      <c r="B120" s="137"/>
      <c r="C120" s="135"/>
      <c r="D120" s="135"/>
      <c r="F120"/>
      <c r="H120"/>
      <c r="J120"/>
    </row>
    <row r="121" spans="1:10" ht="15.75">
      <c r="A121" s="137"/>
      <c r="B121" s="137"/>
      <c r="C121" s="135"/>
      <c r="D121" s="135"/>
      <c r="F121"/>
      <c r="H121"/>
      <c r="J121"/>
    </row>
    <row r="122" spans="1:10" ht="15.75">
      <c r="A122" s="137"/>
      <c r="B122" s="137"/>
      <c r="C122" s="135"/>
      <c r="D122" s="135"/>
      <c r="F122"/>
      <c r="H122"/>
      <c r="J122"/>
    </row>
    <row r="123" spans="1:10" ht="15.75">
      <c r="A123" s="137"/>
      <c r="B123" s="137"/>
      <c r="C123" s="135"/>
      <c r="D123" s="135"/>
      <c r="F123"/>
      <c r="H123"/>
      <c r="J123"/>
    </row>
    <row r="124" spans="1:10" ht="15.75">
      <c r="A124" s="137"/>
      <c r="B124" s="137"/>
      <c r="C124" s="135"/>
      <c r="D124" s="135"/>
      <c r="F124"/>
      <c r="H124"/>
      <c r="J124"/>
    </row>
    <row r="125" spans="1:10" ht="15.75">
      <c r="A125" s="137"/>
      <c r="B125" s="137"/>
      <c r="C125" s="135"/>
      <c r="D125" s="135"/>
      <c r="F125"/>
      <c r="H125"/>
      <c r="J125"/>
    </row>
    <row r="126" spans="1:10" ht="15.75">
      <c r="A126" s="137"/>
      <c r="B126" s="137"/>
      <c r="C126" s="135"/>
      <c r="D126" s="135"/>
      <c r="F126"/>
      <c r="H126"/>
      <c r="J126"/>
    </row>
    <row r="127" spans="1:10" ht="15.75">
      <c r="A127" s="137"/>
      <c r="B127" s="137"/>
      <c r="C127" s="135"/>
      <c r="D127" s="135"/>
      <c r="F127"/>
      <c r="H127"/>
      <c r="J127"/>
    </row>
    <row r="128" spans="1:10" ht="15.75">
      <c r="A128" s="137"/>
      <c r="B128" s="137"/>
      <c r="C128" s="135"/>
      <c r="D128" s="135"/>
      <c r="F128"/>
      <c r="H128"/>
      <c r="J128"/>
    </row>
    <row r="129" spans="1:10" ht="15.75">
      <c r="A129" s="137"/>
      <c r="B129" s="137"/>
      <c r="C129" s="135"/>
      <c r="D129" s="135"/>
      <c r="F129"/>
      <c r="H129"/>
      <c r="J129"/>
    </row>
    <row r="130" spans="1:10" ht="15.75">
      <c r="A130" s="137"/>
      <c r="B130" s="137"/>
      <c r="C130" s="135"/>
      <c r="D130" s="135"/>
      <c r="F130"/>
      <c r="H130"/>
      <c r="J130"/>
    </row>
    <row r="131" spans="1:10" ht="15.75">
      <c r="A131" s="137"/>
      <c r="B131" s="137"/>
      <c r="C131" s="135"/>
      <c r="D131" s="135"/>
      <c r="F131"/>
      <c r="H131"/>
      <c r="J131"/>
    </row>
    <row r="132" spans="1:10" ht="15.75">
      <c r="A132" s="137"/>
      <c r="B132" s="137"/>
      <c r="C132" s="135"/>
      <c r="D132" s="135"/>
      <c r="F132"/>
      <c r="H132"/>
      <c r="J132"/>
    </row>
    <row r="133" spans="1:10" ht="15.75">
      <c r="A133" s="137"/>
      <c r="B133" s="137"/>
      <c r="C133" s="135"/>
      <c r="D133" s="135"/>
      <c r="F133"/>
      <c r="H133"/>
      <c r="J133"/>
    </row>
    <row r="134" spans="1:10" ht="15.75">
      <c r="A134" s="137"/>
      <c r="B134" s="137"/>
      <c r="C134" s="135"/>
      <c r="D134" s="135"/>
      <c r="F134"/>
      <c r="H134"/>
      <c r="J134"/>
    </row>
    <row r="135" spans="1:10" ht="15.75">
      <c r="A135" s="137"/>
      <c r="B135" s="137"/>
      <c r="C135" s="135"/>
      <c r="D135" s="135"/>
      <c r="F135"/>
      <c r="H135"/>
      <c r="J135"/>
    </row>
    <row r="136" spans="1:10" ht="15.75">
      <c r="A136" s="137"/>
      <c r="B136" s="137"/>
      <c r="C136" s="135"/>
      <c r="D136" s="135"/>
      <c r="F136"/>
      <c r="H136"/>
      <c r="J136"/>
    </row>
    <row r="137" spans="1:10" ht="15.75">
      <c r="A137" s="137"/>
      <c r="B137" s="137"/>
      <c r="C137" s="135"/>
      <c r="D137" s="135"/>
      <c r="F137"/>
      <c r="H137"/>
      <c r="J137"/>
    </row>
    <row r="138" spans="1:10" ht="15.75">
      <c r="A138" s="137"/>
      <c r="B138" s="137"/>
      <c r="C138" s="135"/>
      <c r="D138" s="135"/>
      <c r="F138"/>
      <c r="H138"/>
      <c r="J138"/>
    </row>
    <row r="139" spans="1:10" ht="15.75">
      <c r="A139" s="137"/>
      <c r="B139" s="137"/>
      <c r="C139" s="135"/>
      <c r="D139" s="135"/>
      <c r="F139"/>
      <c r="H139"/>
      <c r="J139"/>
    </row>
    <row r="140" spans="1:10" ht="15.75">
      <c r="A140" s="137"/>
      <c r="B140" s="137"/>
      <c r="C140" s="135"/>
      <c r="D140" s="135"/>
      <c r="F140"/>
      <c r="H140"/>
      <c r="J140"/>
    </row>
    <row r="141" spans="1:10" ht="15.75">
      <c r="A141" s="137"/>
      <c r="B141" s="137"/>
      <c r="C141" s="135"/>
      <c r="D141" s="135"/>
      <c r="F141"/>
      <c r="H141"/>
      <c r="J141"/>
    </row>
    <row r="142" spans="1:10" ht="15.75">
      <c r="A142" s="137"/>
      <c r="B142" s="137"/>
      <c r="C142" s="135"/>
      <c r="D142" s="135"/>
      <c r="F142"/>
      <c r="H142"/>
      <c r="J142"/>
    </row>
    <row r="143" spans="1:10" ht="15.75">
      <c r="A143" s="137"/>
      <c r="B143" s="137"/>
      <c r="C143" s="135"/>
      <c r="D143" s="135"/>
      <c r="F143"/>
      <c r="H143"/>
      <c r="J143"/>
    </row>
    <row r="144" spans="1:10" ht="15.75">
      <c r="A144" s="137"/>
      <c r="B144" s="137"/>
      <c r="C144" s="135"/>
      <c r="D144" s="135"/>
      <c r="F144"/>
      <c r="H144"/>
      <c r="J144"/>
    </row>
    <row r="145" spans="1:10" ht="15.75">
      <c r="A145" s="137"/>
      <c r="B145" s="137"/>
      <c r="C145" s="135"/>
      <c r="D145" s="135"/>
      <c r="F145"/>
      <c r="H145"/>
      <c r="J145"/>
    </row>
    <row r="146" spans="1:10" ht="15.75">
      <c r="A146" s="137"/>
      <c r="B146" s="137"/>
      <c r="C146" s="135"/>
      <c r="D146" s="135"/>
      <c r="F146"/>
      <c r="H146"/>
      <c r="J146"/>
    </row>
    <row r="147" spans="1:10" ht="15.75">
      <c r="A147" s="137"/>
      <c r="B147" s="137"/>
      <c r="C147" s="135"/>
      <c r="D147" s="135"/>
      <c r="F147"/>
      <c r="H147"/>
      <c r="J147"/>
    </row>
    <row r="148" spans="1:10" ht="15.75">
      <c r="A148" s="137"/>
      <c r="B148" s="137"/>
      <c r="C148" s="135"/>
      <c r="D148" s="135"/>
      <c r="F148"/>
      <c r="H148"/>
      <c r="J148"/>
    </row>
    <row r="149" spans="1:10" ht="15.75">
      <c r="A149" s="137"/>
      <c r="B149" s="137"/>
      <c r="C149" s="135"/>
      <c r="D149" s="135"/>
      <c r="F149"/>
      <c r="H149"/>
      <c r="J149"/>
    </row>
    <row r="150" spans="1:10" ht="15.75">
      <c r="A150" s="138"/>
      <c r="B150" s="139"/>
      <c r="C150" s="135"/>
      <c r="D150" s="135"/>
      <c r="F150"/>
      <c r="H150"/>
      <c r="J150"/>
    </row>
    <row r="151" spans="1:10" ht="15.75">
      <c r="A151" s="139"/>
      <c r="B151" s="139"/>
      <c r="C151" s="135"/>
      <c r="D151" s="135"/>
      <c r="F151"/>
      <c r="H151"/>
      <c r="J151"/>
    </row>
    <row r="152" spans="1:10" ht="15.75">
      <c r="A152" s="139"/>
      <c r="B152" s="139"/>
      <c r="C152" s="135"/>
      <c r="D152" s="135"/>
      <c r="F152"/>
      <c r="H152"/>
      <c r="J152"/>
    </row>
    <row r="153" spans="1:10" ht="15.75">
      <c r="A153" s="139"/>
      <c r="B153" s="139"/>
      <c r="C153" s="135"/>
      <c r="D153" s="135"/>
      <c r="F153"/>
      <c r="H153"/>
      <c r="J153"/>
    </row>
    <row r="154" spans="1:10" ht="15.75">
      <c r="A154" s="139"/>
      <c r="B154" s="139"/>
      <c r="C154" s="135"/>
      <c r="D154" s="135"/>
      <c r="F154"/>
      <c r="H154"/>
      <c r="J154"/>
    </row>
    <row r="155" spans="1:10" ht="15.75">
      <c r="A155" s="139"/>
      <c r="B155" s="139"/>
      <c r="C155" s="135"/>
      <c r="D155" s="135"/>
      <c r="F155"/>
      <c r="H155"/>
      <c r="J155"/>
    </row>
    <row r="156" spans="1:10" ht="15.75">
      <c r="A156" s="139"/>
      <c r="B156" s="139"/>
      <c r="C156" s="135"/>
      <c r="D156" s="135"/>
      <c r="F156"/>
      <c r="H156"/>
      <c r="J156"/>
    </row>
    <row r="157" spans="1:10" ht="15.75">
      <c r="A157" s="139"/>
      <c r="B157" s="139"/>
      <c r="C157" s="135"/>
      <c r="D157" s="135"/>
      <c r="F157"/>
      <c r="H157"/>
      <c r="J157"/>
    </row>
    <row r="158" spans="1:10" ht="15.75">
      <c r="A158" s="139"/>
      <c r="B158" s="139"/>
      <c r="C158" s="135"/>
      <c r="D158" s="135"/>
      <c r="F158"/>
      <c r="H158"/>
      <c r="J158"/>
    </row>
    <row r="159" spans="1:10" ht="15.75">
      <c r="A159" s="139"/>
      <c r="B159" s="139"/>
      <c r="C159" s="135"/>
      <c r="D159" s="135"/>
      <c r="F159"/>
      <c r="H159"/>
      <c r="J159"/>
    </row>
    <row r="160" spans="1:10" ht="15.75">
      <c r="A160" s="139"/>
      <c r="B160" s="139"/>
      <c r="C160" s="135"/>
      <c r="D160" s="135"/>
      <c r="F160"/>
      <c r="H160"/>
      <c r="J160"/>
    </row>
    <row r="161" spans="1:10" ht="15.75">
      <c r="A161" s="139"/>
      <c r="B161" s="139"/>
      <c r="C161" s="135"/>
      <c r="D161" s="135"/>
      <c r="F161"/>
      <c r="H161"/>
      <c r="J161"/>
    </row>
    <row r="162" spans="1:10" ht="15.75">
      <c r="A162" s="139"/>
      <c r="B162" s="139"/>
      <c r="C162" s="135"/>
      <c r="D162" s="135"/>
      <c r="F162"/>
      <c r="H162"/>
      <c r="J162"/>
    </row>
    <row r="163" spans="1:10" ht="15.75">
      <c r="A163" s="139"/>
      <c r="B163" s="139"/>
      <c r="C163" s="135"/>
      <c r="D163" s="135"/>
      <c r="F163"/>
      <c r="H163"/>
      <c r="J163"/>
    </row>
    <row r="164" spans="1:10" ht="15.75">
      <c r="A164" s="139"/>
      <c r="B164" s="139"/>
      <c r="C164" s="135"/>
      <c r="D164" s="135"/>
      <c r="F164"/>
      <c r="H164"/>
      <c r="J164"/>
    </row>
    <row r="165" spans="1:10" ht="15.75">
      <c r="A165" s="139"/>
      <c r="B165" s="139"/>
      <c r="C165" s="135"/>
      <c r="D165" s="135"/>
      <c r="F165"/>
      <c r="H165"/>
      <c r="J165"/>
    </row>
    <row r="166" spans="1:10" ht="15.75">
      <c r="A166" s="139"/>
      <c r="B166" s="139"/>
      <c r="C166" s="135"/>
      <c r="D166" s="135"/>
      <c r="F166"/>
      <c r="H166"/>
      <c r="J166"/>
    </row>
    <row r="167" spans="1:10" ht="15.75">
      <c r="A167" s="139"/>
      <c r="B167" s="138"/>
      <c r="C167" s="135"/>
      <c r="D167" s="135"/>
      <c r="F167"/>
      <c r="H167"/>
      <c r="J167"/>
    </row>
    <row r="168" spans="1:10" ht="15.75">
      <c r="A168" s="139"/>
      <c r="B168" s="139"/>
      <c r="C168" s="135"/>
      <c r="D168" s="135"/>
      <c r="F168"/>
      <c r="H168"/>
      <c r="J168"/>
    </row>
    <row r="169" spans="1:10" ht="15.75">
      <c r="A169" s="139"/>
      <c r="B169" s="139"/>
      <c r="C169" s="135"/>
      <c r="D169" s="135"/>
      <c r="F169"/>
      <c r="H169"/>
      <c r="J169"/>
    </row>
    <row r="170" spans="1:10" ht="15.75">
      <c r="A170" s="139"/>
      <c r="B170" s="139"/>
      <c r="C170" s="135"/>
      <c r="D170" s="135"/>
      <c r="F170"/>
      <c r="H170"/>
      <c r="J170"/>
    </row>
    <row r="171" spans="1:10" ht="15.75">
      <c r="A171" s="139"/>
      <c r="B171" s="139"/>
      <c r="C171" s="135"/>
      <c r="D171" s="135"/>
      <c r="F171"/>
      <c r="H171"/>
      <c r="J171"/>
    </row>
    <row r="172" spans="1:10" ht="15.75">
      <c r="A172" s="139"/>
      <c r="B172" s="139"/>
      <c r="C172" s="135"/>
      <c r="D172" s="135"/>
      <c r="F172"/>
      <c r="H172"/>
      <c r="J172"/>
    </row>
    <row r="173" spans="1:10" ht="15.75">
      <c r="A173" s="139"/>
      <c r="B173" s="139"/>
      <c r="C173" s="135"/>
      <c r="D173" s="135"/>
      <c r="F173"/>
      <c r="H173"/>
      <c r="J173"/>
    </row>
    <row r="174" spans="1:10" ht="15.75">
      <c r="A174" s="139"/>
      <c r="B174" s="139"/>
      <c r="C174" s="135"/>
      <c r="D174" s="135"/>
      <c r="F174"/>
      <c r="H174"/>
      <c r="J174"/>
    </row>
    <row r="175" spans="1:10" ht="15.75">
      <c r="A175" s="139"/>
      <c r="B175" s="139"/>
      <c r="C175" s="135"/>
      <c r="D175" s="135"/>
      <c r="F175"/>
      <c r="H175"/>
      <c r="J175"/>
    </row>
    <row r="176" spans="1:10" ht="15.75">
      <c r="A176" s="139"/>
      <c r="B176" s="139"/>
      <c r="C176" s="135"/>
      <c r="D176" s="135"/>
      <c r="F176"/>
      <c r="H176"/>
      <c r="J176"/>
    </row>
    <row r="177" spans="1:10" ht="15.75">
      <c r="A177" s="139"/>
      <c r="B177" s="139"/>
      <c r="C177" s="135"/>
      <c r="D177" s="135"/>
      <c r="F177"/>
      <c r="H177"/>
      <c r="J177"/>
    </row>
    <row r="178" spans="1:10" ht="15.75">
      <c r="A178" s="139"/>
      <c r="B178" s="136"/>
      <c r="C178" s="135"/>
      <c r="D178" s="135"/>
      <c r="F178"/>
      <c r="H178"/>
      <c r="J178"/>
    </row>
  </sheetData>
  <mergeCells count="4">
    <mergeCell ref="A24:B24"/>
    <mergeCell ref="D24:H24"/>
    <mergeCell ref="J24:N24"/>
    <mergeCell ref="A104:B10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78"/>
  <sheetViews>
    <sheetView topLeftCell="A4" workbookViewId="0">
      <pane ySplit="13" topLeftCell="A88" activePane="bottomLeft" state="frozen"/>
      <selection pane="bottomLeft" activeCell="B15" sqref="A1:XFD1048576"/>
      <selection activeCell="A4" sqref="A4"/>
    </sheetView>
  </sheetViews>
  <sheetFormatPr defaultRowHeight="12.75"/>
  <cols>
    <col min="1" max="2" width="12" style="78" customWidth="1"/>
    <col min="3" max="3" width="2.7109375" customWidth="1"/>
    <col min="4" max="4" width="12" style="79" customWidth="1"/>
    <col min="5" max="5" width="2.7109375" customWidth="1"/>
    <col min="6" max="6" width="12" style="80" customWidth="1"/>
    <col min="7" max="7" width="2.7109375" customWidth="1"/>
    <col min="8" max="8" width="12" style="80" customWidth="1"/>
    <col min="9" max="9" width="2.7109375" customWidth="1"/>
    <col min="10" max="10" width="12" style="79" customWidth="1"/>
    <col min="11" max="11" width="2.7109375" customWidth="1"/>
    <col min="12" max="12" width="12" customWidth="1"/>
    <col min="13" max="13" width="2.7109375" customWidth="1"/>
    <col min="14" max="14" width="12" customWidth="1"/>
  </cols>
  <sheetData>
    <row r="1" spans="1:2" customFormat="1" ht="7.5" customHeight="1">
      <c r="A1" s="75" t="s">
        <v>38</v>
      </c>
    </row>
    <row r="2" spans="1:2" customFormat="1" ht="17.25" customHeight="1">
      <c r="A2" t="s">
        <v>39</v>
      </c>
    </row>
    <row r="3" spans="1:2" customFormat="1" ht="15" customHeight="1"/>
    <row r="4" spans="1:2" customFormat="1"/>
    <row r="5" spans="1:2" customFormat="1" ht="14.25">
      <c r="A5" s="76" t="s">
        <v>40</v>
      </c>
    </row>
    <row r="6" spans="1:2" customFormat="1"/>
    <row r="7" spans="1:2" customFormat="1" ht="15">
      <c r="A7" s="77" t="s">
        <v>41</v>
      </c>
      <c r="B7" t="s">
        <v>42</v>
      </c>
    </row>
    <row r="8" spans="1:2" customFormat="1" ht="15">
      <c r="A8" s="77" t="s">
        <v>43</v>
      </c>
      <c r="B8" t="s">
        <v>44</v>
      </c>
    </row>
    <row r="9" spans="1:2" customFormat="1" ht="15">
      <c r="A9" s="77"/>
      <c r="B9" t="s">
        <v>45</v>
      </c>
    </row>
    <row r="10" spans="1:2" customFormat="1" ht="15">
      <c r="A10" s="77"/>
      <c r="B10" t="s">
        <v>46</v>
      </c>
    </row>
    <row r="11" spans="1:2" customFormat="1" ht="15">
      <c r="A11" s="77"/>
      <c r="B11" t="s">
        <v>47</v>
      </c>
    </row>
    <row r="12" spans="1:2" customFormat="1" ht="15">
      <c r="A12" s="77" t="s">
        <v>48</v>
      </c>
      <c r="B12" t="s">
        <v>49</v>
      </c>
    </row>
    <row r="13" spans="1:2" customFormat="1">
      <c r="B13" t="s">
        <v>45</v>
      </c>
    </row>
    <row r="14" spans="1:2" customFormat="1">
      <c r="B14" t="s">
        <v>46</v>
      </c>
    </row>
    <row r="15" spans="1:2" customFormat="1">
      <c r="B15" t="s">
        <v>47</v>
      </c>
    </row>
    <row r="16" spans="1:2" customFormat="1"/>
    <row r="17" spans="1:14">
      <c r="A17"/>
      <c r="B17"/>
      <c r="D17"/>
      <c r="F17"/>
      <c r="H17"/>
      <c r="J17"/>
    </row>
    <row r="18" spans="1:14">
      <c r="F18" s="80" t="s">
        <v>50</v>
      </c>
      <c r="J18" s="81"/>
    </row>
    <row r="19" spans="1:14">
      <c r="A19" s="80" t="s">
        <v>51</v>
      </c>
      <c r="D19" s="80">
        <f>'Tabel 2025 52 weken'!D$19</f>
        <v>10.71</v>
      </c>
      <c r="F19" s="236">
        <f>IF(F28-D19&gt;0,F28-D19,0)</f>
        <v>0.33999999999999986</v>
      </c>
      <c r="L19" s="82"/>
      <c r="N19" s="80"/>
    </row>
    <row r="20" spans="1:14">
      <c r="A20" s="80" t="s">
        <v>52</v>
      </c>
      <c r="D20" s="80">
        <f>'Tabel 2025 52 weken'!$D$20</f>
        <v>9.52</v>
      </c>
      <c r="F20" s="236">
        <f>IF(H28-D20&gt;0,H28-D20,0)</f>
        <v>0.44000000000000128</v>
      </c>
      <c r="J20" s="81"/>
      <c r="N20" s="80"/>
    </row>
    <row r="21" spans="1:14">
      <c r="A21" s="80"/>
      <c r="D21" s="80"/>
      <c r="N21" s="80"/>
    </row>
    <row r="22" spans="1:14">
      <c r="A22" s="80"/>
      <c r="D22" s="80"/>
      <c r="N22" s="80"/>
    </row>
    <row r="23" spans="1:14">
      <c r="A23" s="80"/>
      <c r="D23" s="80"/>
      <c r="G23" s="80"/>
      <c r="N23" s="80"/>
    </row>
    <row r="24" spans="1:14" ht="15">
      <c r="A24" s="322" t="s">
        <v>54</v>
      </c>
      <c r="B24" s="322"/>
      <c r="D24" s="319" t="s">
        <v>55</v>
      </c>
      <c r="E24" s="319"/>
      <c r="F24" s="319"/>
      <c r="G24" s="319"/>
      <c r="H24" s="319"/>
      <c r="I24" s="83"/>
      <c r="J24" s="320" t="s">
        <v>56</v>
      </c>
      <c r="K24" s="320"/>
      <c r="L24" s="320"/>
      <c r="M24" s="320"/>
      <c r="N24" s="320"/>
    </row>
    <row r="25" spans="1:14">
      <c r="A25" s="84" t="s">
        <v>57</v>
      </c>
      <c r="B25" s="84"/>
      <c r="D25" s="237" t="s">
        <v>58</v>
      </c>
      <c r="E25" s="85"/>
      <c r="F25" s="86"/>
      <c r="G25" s="85"/>
      <c r="H25" s="86"/>
      <c r="J25" s="238" t="s">
        <v>58</v>
      </c>
      <c r="K25" s="87"/>
      <c r="L25" s="87"/>
      <c r="M25" s="87"/>
      <c r="N25" s="87"/>
    </row>
    <row r="26" spans="1:14">
      <c r="A26" s="84" t="s">
        <v>59</v>
      </c>
      <c r="B26" s="84"/>
      <c r="D26" s="237" t="s">
        <v>60</v>
      </c>
      <c r="E26" s="85"/>
      <c r="F26" s="88" t="s">
        <v>61</v>
      </c>
      <c r="G26" s="89"/>
      <c r="H26" s="88" t="s">
        <v>62</v>
      </c>
      <c r="J26" s="238" t="s">
        <v>60</v>
      </c>
      <c r="K26" s="87"/>
      <c r="L26" s="90" t="s">
        <v>63</v>
      </c>
      <c r="M26" s="87"/>
      <c r="N26" s="90" t="s">
        <v>64</v>
      </c>
    </row>
    <row r="27" spans="1:14">
      <c r="A27" s="84"/>
      <c r="B27" s="84"/>
      <c r="D27" s="91"/>
      <c r="E27" s="85"/>
      <c r="F27" s="92" t="s">
        <v>66</v>
      </c>
      <c r="G27" s="93"/>
      <c r="H27" s="92" t="s">
        <v>67</v>
      </c>
      <c r="J27" s="94"/>
      <c r="K27" s="87"/>
      <c r="L27" s="95" t="s">
        <v>66</v>
      </c>
      <c r="M27" s="96"/>
      <c r="N27" s="95" t="s">
        <v>67</v>
      </c>
    </row>
    <row r="28" spans="1:14">
      <c r="A28" s="84"/>
      <c r="B28" s="84"/>
      <c r="D28" s="91"/>
      <c r="E28" s="85"/>
      <c r="F28" s="235">
        <v>11.05</v>
      </c>
      <c r="G28" s="93"/>
      <c r="H28" s="235">
        <v>9.9600000000000009</v>
      </c>
      <c r="J28" s="94"/>
      <c r="K28" s="87"/>
      <c r="L28" s="97">
        <f>F28</f>
        <v>11.05</v>
      </c>
      <c r="M28" s="87"/>
      <c r="N28" s="97">
        <f>H28</f>
        <v>9.9600000000000009</v>
      </c>
    </row>
    <row r="29" spans="1:14" ht="13.5" thickBot="1">
      <c r="A29" s="84"/>
      <c r="B29" s="84"/>
      <c r="D29" s="91"/>
      <c r="E29" s="85"/>
      <c r="F29" s="86"/>
      <c r="G29" s="85"/>
      <c r="H29" s="86"/>
      <c r="J29" s="94"/>
      <c r="K29" s="87"/>
      <c r="L29" s="87"/>
      <c r="M29" s="87"/>
      <c r="N29" s="87"/>
    </row>
    <row r="30" spans="1:14">
      <c r="A30" s="98" t="s">
        <v>3</v>
      </c>
      <c r="B30" s="98" t="s">
        <v>4</v>
      </c>
      <c r="D30" s="239" t="s">
        <v>69</v>
      </c>
      <c r="E30" s="85"/>
      <c r="F30" s="99" t="s">
        <v>70</v>
      </c>
      <c r="G30" s="85"/>
      <c r="H30" s="99" t="s">
        <v>70</v>
      </c>
      <c r="J30" s="240" t="s">
        <v>71</v>
      </c>
      <c r="K30" s="87"/>
      <c r="L30" s="100" t="s">
        <v>70</v>
      </c>
      <c r="M30" s="87"/>
      <c r="N30" s="100" t="s">
        <v>70</v>
      </c>
    </row>
    <row r="31" spans="1:14" ht="13.5" thickBot="1">
      <c r="A31" s="101"/>
      <c r="B31" s="101"/>
      <c r="D31" s="241" t="s">
        <v>72</v>
      </c>
      <c r="E31" s="85"/>
      <c r="F31" s="102" t="s">
        <v>73</v>
      </c>
      <c r="G31" s="85"/>
      <c r="H31" s="102" t="s">
        <v>73</v>
      </c>
      <c r="J31" s="242" t="s">
        <v>74</v>
      </c>
      <c r="K31" s="87"/>
      <c r="L31" s="103" t="s">
        <v>73</v>
      </c>
      <c r="M31" s="87"/>
      <c r="N31" s="103" t="s">
        <v>73</v>
      </c>
    </row>
    <row r="32" spans="1:14">
      <c r="A32" s="84"/>
      <c r="B32" s="84"/>
      <c r="D32" s="91"/>
      <c r="E32" s="85"/>
      <c r="F32" s="86"/>
      <c r="G32" s="85"/>
      <c r="H32" s="86"/>
      <c r="J32" s="94"/>
      <c r="K32" s="87"/>
      <c r="L32" s="87"/>
      <c r="M32" s="87"/>
      <c r="N32" s="87"/>
    </row>
    <row r="33" spans="1:23" ht="15">
      <c r="A33" s="256" t="str">
        <f>+'Tabel 2025 52 weken incl. 27'!A33</f>
        <v>lager dan</v>
      </c>
      <c r="B33" s="256">
        <f>+'Tabel 2025 52 weken incl. 27'!B33</f>
        <v>23211</v>
      </c>
      <c r="D33" s="142">
        <f>+'Tabel 2025 52 weken incl. 27'!D33</f>
        <v>0.96</v>
      </c>
      <c r="E33" s="140"/>
      <c r="F33" s="293">
        <f>IF($D$19&gt;=$F$28,($F$28*(100%-D33))+($F$19),$D$19*(100%-D33)+$F$19)</f>
        <v>0.76840000000000019</v>
      </c>
      <c r="G33" s="292"/>
      <c r="H33" s="293">
        <f>IF($D$20&gt;=$H$28,($H$28*(100%-D33))+($F$20),$D$20*(100%-D33)+($F$20))</f>
        <v>0.82080000000000153</v>
      </c>
      <c r="J33" s="143">
        <f>+'Tabel 2025 52 weken incl. 27'!J33</f>
        <v>0.96</v>
      </c>
      <c r="K33" s="141"/>
      <c r="L33" s="295">
        <f>IF($D$19&gt;=$L$28,($L$28*(100%-J33))+(F$19),$D$19*(100%-J33)+$F$19)</f>
        <v>0.76840000000000019</v>
      </c>
      <c r="M33" s="294"/>
      <c r="N33" s="295">
        <f>IF($D$20&gt;=$H$28,($H$28*(100%-J33))+($F$20),$D$20*(100%-J33)+($F$20))</f>
        <v>0.82080000000000153</v>
      </c>
      <c r="P33" s="243"/>
    </row>
    <row r="34" spans="1:23" ht="15">
      <c r="A34" s="256">
        <f>+'Tabel 2025 52 weken incl. 27'!A34</f>
        <v>23212</v>
      </c>
      <c r="B34" s="256">
        <f>+'Tabel 2025 52 weken incl. 27'!B34</f>
        <v>24756</v>
      </c>
      <c r="D34" s="142">
        <f>+'Tabel 2025 52 weken incl. 27'!D34</f>
        <v>0.96</v>
      </c>
      <c r="E34" s="140"/>
      <c r="F34" s="293">
        <f t="shared" ref="F34:F97" si="0">IF($D$19&gt;=$F$28,($F$28*(100%-D34))+($F$19),$D$19*(100%-D34)+$F$19)</f>
        <v>0.76840000000000019</v>
      </c>
      <c r="G34" s="292"/>
      <c r="H34" s="293">
        <f t="shared" ref="H34:H97" si="1">IF($D$20&gt;=$H$28,($H$28*(100%-D34))+($F$20),$D$20*(100%-D34)+($F$20))</f>
        <v>0.82080000000000153</v>
      </c>
      <c r="J34" s="143">
        <f>+'Tabel 2025 52 weken incl. 27'!J34</f>
        <v>0.96</v>
      </c>
      <c r="K34" s="141"/>
      <c r="L34" s="295">
        <f t="shared" ref="L34:L97" si="2">IF($D$19&gt;=$L$28,($L$28*(100%-J34))+(F$19),$D$19*(100%-J34)+$F$19)</f>
        <v>0.76840000000000019</v>
      </c>
      <c r="M34" s="294"/>
      <c r="N34" s="295">
        <f t="shared" ref="N34:N97" si="3">IF($D$20&gt;=$H$28,($H$28*(100%-J34))+($F$20),$D$20*(100%-J34)+($F$20))</f>
        <v>0.82080000000000153</v>
      </c>
    </row>
    <row r="35" spans="1:23" ht="15">
      <c r="A35" s="256">
        <f>+'Tabel 2025 52 weken incl. 27'!A35</f>
        <v>24757</v>
      </c>
      <c r="B35" s="256">
        <f>+'Tabel 2025 52 weken incl. 27'!B35</f>
        <v>26300</v>
      </c>
      <c r="D35" s="142">
        <f>+'Tabel 2025 52 weken incl. 27'!D35</f>
        <v>0.96</v>
      </c>
      <c r="E35" s="140"/>
      <c r="F35" s="293">
        <f t="shared" si="0"/>
        <v>0.76840000000000019</v>
      </c>
      <c r="G35" s="292"/>
      <c r="H35" s="293">
        <f t="shared" si="1"/>
        <v>0.82080000000000153</v>
      </c>
      <c r="J35" s="143">
        <f>+'Tabel 2025 52 weken incl. 27'!J35</f>
        <v>0.96</v>
      </c>
      <c r="K35" s="141"/>
      <c r="L35" s="295">
        <f t="shared" si="2"/>
        <v>0.76840000000000019</v>
      </c>
      <c r="M35" s="294"/>
      <c r="N35" s="295">
        <f t="shared" si="3"/>
        <v>0.82080000000000153</v>
      </c>
      <c r="R35" s="104"/>
    </row>
    <row r="36" spans="1:23" ht="15">
      <c r="A36" s="256">
        <f>+'Tabel 2025 52 weken incl. 27'!A36</f>
        <v>26301</v>
      </c>
      <c r="B36" s="256">
        <f>+'Tabel 2025 52 weken incl. 27'!B36</f>
        <v>27848</v>
      </c>
      <c r="D36" s="142">
        <f>+'Tabel 2025 52 weken incl. 27'!D36</f>
        <v>0.96</v>
      </c>
      <c r="E36" s="140"/>
      <c r="F36" s="293">
        <f t="shared" si="0"/>
        <v>0.76840000000000019</v>
      </c>
      <c r="G36" s="292"/>
      <c r="H36" s="293">
        <f t="shared" si="1"/>
        <v>0.82080000000000153</v>
      </c>
      <c r="J36" s="143">
        <f>+'Tabel 2025 52 weken incl. 27'!J36</f>
        <v>0.96</v>
      </c>
      <c r="K36" s="141"/>
      <c r="L36" s="295">
        <f t="shared" si="2"/>
        <v>0.76840000000000019</v>
      </c>
      <c r="M36" s="294"/>
      <c r="N36" s="295">
        <f t="shared" si="3"/>
        <v>0.82080000000000153</v>
      </c>
    </row>
    <row r="37" spans="1:23" ht="15">
      <c r="A37" s="256">
        <f>+'Tabel 2025 52 weken incl. 27'!A37</f>
        <v>27849</v>
      </c>
      <c r="B37" s="256">
        <f>+'Tabel 2025 52 weken incl. 27'!B37</f>
        <v>29392</v>
      </c>
      <c r="D37" s="142">
        <f>+'Tabel 2025 52 weken incl. 27'!D37</f>
        <v>0.96</v>
      </c>
      <c r="E37" s="140"/>
      <c r="F37" s="293">
        <f t="shared" si="0"/>
        <v>0.76840000000000019</v>
      </c>
      <c r="G37" s="292"/>
      <c r="H37" s="293">
        <f t="shared" si="1"/>
        <v>0.82080000000000153</v>
      </c>
      <c r="J37" s="143">
        <f>+'Tabel 2025 52 weken incl. 27'!J37</f>
        <v>0.96</v>
      </c>
      <c r="K37" s="141"/>
      <c r="L37" s="295">
        <f t="shared" si="2"/>
        <v>0.76840000000000019</v>
      </c>
      <c r="M37" s="294"/>
      <c r="N37" s="295">
        <f t="shared" si="3"/>
        <v>0.82080000000000153</v>
      </c>
    </row>
    <row r="38" spans="1:23" ht="15">
      <c r="A38" s="256">
        <f>+'Tabel 2025 52 weken incl. 27'!A38</f>
        <v>29393</v>
      </c>
      <c r="B38" s="256">
        <f>+'Tabel 2025 52 weken incl. 27'!B38</f>
        <v>30939</v>
      </c>
      <c r="D38" s="142">
        <f>+'Tabel 2025 52 weken incl. 27'!D38</f>
        <v>0.96</v>
      </c>
      <c r="E38" s="140"/>
      <c r="F38" s="293">
        <f t="shared" si="0"/>
        <v>0.76840000000000019</v>
      </c>
      <c r="G38" s="292"/>
      <c r="H38" s="293">
        <f t="shared" si="1"/>
        <v>0.82080000000000153</v>
      </c>
      <c r="J38" s="143">
        <f>+'Tabel 2025 52 weken incl. 27'!J38</f>
        <v>0.96</v>
      </c>
      <c r="K38" s="141"/>
      <c r="L38" s="295">
        <f t="shared" si="2"/>
        <v>0.76840000000000019</v>
      </c>
      <c r="M38" s="294"/>
      <c r="N38" s="295">
        <f t="shared" si="3"/>
        <v>0.82080000000000153</v>
      </c>
    </row>
    <row r="39" spans="1:23" ht="15">
      <c r="A39" s="256">
        <f>+'Tabel 2025 52 weken incl. 27'!A39</f>
        <v>30940</v>
      </c>
      <c r="B39" s="256">
        <f>+'Tabel 2025 52 weken incl. 27'!B39</f>
        <v>32483</v>
      </c>
      <c r="D39" s="142">
        <f>+'Tabel 2025 52 weken incl. 27'!D39</f>
        <v>0.96</v>
      </c>
      <c r="E39" s="140"/>
      <c r="F39" s="293">
        <f t="shared" si="0"/>
        <v>0.76840000000000019</v>
      </c>
      <c r="G39" s="292"/>
      <c r="H39" s="293">
        <f t="shared" si="1"/>
        <v>0.82080000000000153</v>
      </c>
      <c r="J39" s="143">
        <f>+'Tabel 2025 52 weken incl. 27'!J39</f>
        <v>0.96</v>
      </c>
      <c r="K39" s="141"/>
      <c r="L39" s="295">
        <f t="shared" si="2"/>
        <v>0.76840000000000019</v>
      </c>
      <c r="M39" s="294"/>
      <c r="N39" s="295">
        <f t="shared" si="3"/>
        <v>0.82080000000000153</v>
      </c>
    </row>
    <row r="40" spans="1:23" ht="15">
      <c r="A40" s="256">
        <f>+'Tabel 2025 52 weken incl. 27'!A40</f>
        <v>32484</v>
      </c>
      <c r="B40" s="256">
        <f>+'Tabel 2025 52 weken incl. 27'!B40</f>
        <v>34025</v>
      </c>
      <c r="D40" s="142">
        <f>+'Tabel 2025 52 weken incl. 27'!D40</f>
        <v>0.96</v>
      </c>
      <c r="E40" s="140"/>
      <c r="F40" s="293">
        <f t="shared" si="0"/>
        <v>0.76840000000000019</v>
      </c>
      <c r="G40" s="292"/>
      <c r="H40" s="293">
        <f t="shared" si="1"/>
        <v>0.82080000000000153</v>
      </c>
      <c r="J40" s="143">
        <f>+'Tabel 2025 52 weken incl. 27'!J40</f>
        <v>0.96</v>
      </c>
      <c r="K40" s="141"/>
      <c r="L40" s="295">
        <f t="shared" si="2"/>
        <v>0.76840000000000019</v>
      </c>
      <c r="M40" s="294"/>
      <c r="N40" s="295">
        <f t="shared" si="3"/>
        <v>0.82080000000000153</v>
      </c>
    </row>
    <row r="41" spans="1:23" ht="15">
      <c r="A41" s="256">
        <f>+'Tabel 2025 52 weken incl. 27'!A41</f>
        <v>34026</v>
      </c>
      <c r="B41" s="256">
        <f>+'Tabel 2025 52 weken incl. 27'!B41</f>
        <v>35687</v>
      </c>
      <c r="D41" s="142">
        <f>+'Tabel 2025 52 weken incl. 27'!D41</f>
        <v>0.96</v>
      </c>
      <c r="E41" s="140"/>
      <c r="F41" s="293">
        <f t="shared" si="0"/>
        <v>0.76840000000000019</v>
      </c>
      <c r="G41" s="292"/>
      <c r="H41" s="293">
        <f t="shared" si="1"/>
        <v>0.82080000000000153</v>
      </c>
      <c r="J41" s="143">
        <f>+'Tabel 2025 52 weken incl. 27'!J41</f>
        <v>0.96</v>
      </c>
      <c r="K41" s="141"/>
      <c r="L41" s="295">
        <f t="shared" si="2"/>
        <v>0.76840000000000019</v>
      </c>
      <c r="M41" s="294"/>
      <c r="N41" s="295">
        <f t="shared" si="3"/>
        <v>0.82080000000000153</v>
      </c>
    </row>
    <row r="42" spans="1:23" ht="15">
      <c r="A42" s="256">
        <f>+'Tabel 2025 52 weken incl. 27'!A42</f>
        <v>35688</v>
      </c>
      <c r="B42" s="256">
        <f>+'Tabel 2025 52 weken incl. 27'!B42</f>
        <v>37346</v>
      </c>
      <c r="D42" s="142">
        <f>+'Tabel 2025 52 weken incl. 27'!D42</f>
        <v>0.96</v>
      </c>
      <c r="E42" s="140"/>
      <c r="F42" s="293">
        <f t="shared" si="0"/>
        <v>0.76840000000000019</v>
      </c>
      <c r="G42" s="292"/>
      <c r="H42" s="293">
        <f t="shared" si="1"/>
        <v>0.82080000000000153</v>
      </c>
      <c r="J42" s="143">
        <f>+'Tabel 2025 52 weken incl. 27'!J42</f>
        <v>0.96</v>
      </c>
      <c r="K42" s="141"/>
      <c r="L42" s="295">
        <f t="shared" si="2"/>
        <v>0.76840000000000019</v>
      </c>
      <c r="M42" s="294"/>
      <c r="N42" s="295">
        <f t="shared" si="3"/>
        <v>0.82080000000000153</v>
      </c>
    </row>
    <row r="43" spans="1:23" ht="15">
      <c r="A43" s="256">
        <f>+'Tabel 2025 52 weken incl. 27'!A43</f>
        <v>37347</v>
      </c>
      <c r="B43" s="256">
        <f>+'Tabel 2025 52 weken incl. 27'!B43</f>
        <v>39010</v>
      </c>
      <c r="D43" s="142">
        <f>+'Tabel 2025 52 weken incl. 27'!D43</f>
        <v>0.96</v>
      </c>
      <c r="E43" s="140"/>
      <c r="F43" s="293">
        <f t="shared" si="0"/>
        <v>0.76840000000000019</v>
      </c>
      <c r="G43" s="292"/>
      <c r="H43" s="293">
        <f t="shared" si="1"/>
        <v>0.82080000000000153</v>
      </c>
      <c r="J43" s="143">
        <f>+'Tabel 2025 52 weken incl. 27'!J43</f>
        <v>0.96</v>
      </c>
      <c r="K43" s="141"/>
      <c r="L43" s="295">
        <f t="shared" si="2"/>
        <v>0.76840000000000019</v>
      </c>
      <c r="M43" s="294"/>
      <c r="N43" s="295">
        <f t="shared" si="3"/>
        <v>0.82080000000000153</v>
      </c>
    </row>
    <row r="44" spans="1:23" ht="15">
      <c r="A44" s="256">
        <f>+'Tabel 2025 52 weken incl. 27'!A44</f>
        <v>39011</v>
      </c>
      <c r="B44" s="256">
        <f>+'Tabel 2025 52 weken incl. 27'!B44</f>
        <v>40670</v>
      </c>
      <c r="D44" s="142">
        <f>+'Tabel 2025 52 weken incl. 27'!D44</f>
        <v>0.96</v>
      </c>
      <c r="E44" s="140"/>
      <c r="F44" s="293">
        <f t="shared" si="0"/>
        <v>0.76840000000000019</v>
      </c>
      <c r="G44" s="292"/>
      <c r="H44" s="293">
        <f t="shared" si="1"/>
        <v>0.82080000000000153</v>
      </c>
      <c r="J44" s="143">
        <f>+'Tabel 2025 52 weken incl. 27'!J44</f>
        <v>0.96</v>
      </c>
      <c r="K44" s="141"/>
      <c r="L44" s="295">
        <f t="shared" si="2"/>
        <v>0.76840000000000019</v>
      </c>
      <c r="M44" s="294"/>
      <c r="N44" s="295">
        <f t="shared" si="3"/>
        <v>0.82080000000000153</v>
      </c>
    </row>
    <row r="45" spans="1:23" ht="15">
      <c r="A45" s="256">
        <f>+'Tabel 2025 52 weken incl. 27'!A45</f>
        <v>40671</v>
      </c>
      <c r="B45" s="256">
        <f>+'Tabel 2025 52 weken incl. 27'!B45</f>
        <v>42336</v>
      </c>
      <c r="D45" s="142">
        <f>+'Tabel 2025 52 weken incl. 27'!D45</f>
        <v>0.96</v>
      </c>
      <c r="E45" s="140"/>
      <c r="F45" s="293">
        <f t="shared" si="0"/>
        <v>0.76840000000000019</v>
      </c>
      <c r="G45" s="292"/>
      <c r="H45" s="293">
        <f t="shared" si="1"/>
        <v>0.82080000000000153</v>
      </c>
      <c r="J45" s="143">
        <f>+'Tabel 2025 52 weken incl. 27'!J45</f>
        <v>0.96</v>
      </c>
      <c r="K45" s="141"/>
      <c r="L45" s="295">
        <f t="shared" si="2"/>
        <v>0.76840000000000019</v>
      </c>
      <c r="M45" s="294"/>
      <c r="N45" s="295">
        <f t="shared" si="3"/>
        <v>0.82080000000000153</v>
      </c>
    </row>
    <row r="46" spans="1:23" ht="15">
      <c r="A46" s="256">
        <f>+'Tabel 2025 52 weken incl. 27'!A46</f>
        <v>42337</v>
      </c>
      <c r="B46" s="256">
        <f>+'Tabel 2025 52 weken incl. 27'!B46</f>
        <v>43998</v>
      </c>
      <c r="D46" s="142">
        <f>+'Tabel 2025 52 weken incl. 27'!D46</f>
        <v>0.96</v>
      </c>
      <c r="E46" s="140"/>
      <c r="F46" s="293">
        <f t="shared" si="0"/>
        <v>0.76840000000000019</v>
      </c>
      <c r="G46" s="292"/>
      <c r="H46" s="293">
        <f t="shared" si="1"/>
        <v>0.82080000000000153</v>
      </c>
      <c r="J46" s="143">
        <f>+'Tabel 2025 52 weken incl. 27'!J46</f>
        <v>0.96</v>
      </c>
      <c r="K46" s="141"/>
      <c r="L46" s="295">
        <f t="shared" si="2"/>
        <v>0.76840000000000019</v>
      </c>
      <c r="M46" s="294"/>
      <c r="N46" s="295">
        <f t="shared" si="3"/>
        <v>0.82080000000000153</v>
      </c>
      <c r="V46" s="105"/>
      <c r="W46" s="244"/>
    </row>
    <row r="47" spans="1:23" ht="15">
      <c r="A47" s="256">
        <f>+'Tabel 2025 52 weken incl. 27'!A47</f>
        <v>43999</v>
      </c>
      <c r="B47" s="256">
        <f>+'Tabel 2025 52 weken incl. 27'!B47</f>
        <v>45700</v>
      </c>
      <c r="D47" s="142">
        <f>+'Tabel 2025 52 weken incl. 27'!D47</f>
        <v>0.96</v>
      </c>
      <c r="E47" s="140"/>
      <c r="F47" s="293">
        <f t="shared" si="0"/>
        <v>0.76840000000000019</v>
      </c>
      <c r="G47" s="292"/>
      <c r="H47" s="293">
        <f t="shared" si="1"/>
        <v>0.82080000000000153</v>
      </c>
      <c r="J47" s="143">
        <f>+'Tabel 2025 52 weken incl. 27'!J47</f>
        <v>0.96</v>
      </c>
      <c r="K47" s="141"/>
      <c r="L47" s="295">
        <f t="shared" si="2"/>
        <v>0.76840000000000019</v>
      </c>
      <c r="M47" s="294"/>
      <c r="N47" s="295">
        <f t="shared" si="3"/>
        <v>0.82080000000000153</v>
      </c>
      <c r="V47" s="105"/>
    </row>
    <row r="48" spans="1:23" ht="15">
      <c r="A48" s="256">
        <f>+'Tabel 2025 52 weken incl. 27'!A48</f>
        <v>45701</v>
      </c>
      <c r="B48" s="256">
        <f>+'Tabel 2025 52 weken incl. 27'!B48</f>
        <v>47403</v>
      </c>
      <c r="D48" s="142">
        <f>+'Tabel 2025 52 weken incl. 27'!D48</f>
        <v>0.96</v>
      </c>
      <c r="E48" s="140"/>
      <c r="F48" s="293">
        <f t="shared" si="0"/>
        <v>0.76840000000000019</v>
      </c>
      <c r="G48" s="292"/>
      <c r="H48" s="293">
        <f t="shared" si="1"/>
        <v>0.82080000000000153</v>
      </c>
      <c r="J48" s="143">
        <f>+'Tabel 2025 52 weken incl. 27'!J48</f>
        <v>0.96</v>
      </c>
      <c r="K48" s="141"/>
      <c r="L48" s="295">
        <f t="shared" si="2"/>
        <v>0.76840000000000019</v>
      </c>
      <c r="M48" s="294"/>
      <c r="N48" s="295">
        <f t="shared" si="3"/>
        <v>0.82080000000000153</v>
      </c>
      <c r="V48" s="105"/>
    </row>
    <row r="49" spans="1:16" ht="15">
      <c r="A49" s="256">
        <f>+'Tabel 2025 52 weken incl. 27'!A49</f>
        <v>47404</v>
      </c>
      <c r="B49" s="256">
        <f>+'Tabel 2025 52 weken incl. 27'!B49</f>
        <v>49108</v>
      </c>
      <c r="D49" s="142">
        <f>+'Tabel 2025 52 weken incl. 27'!D49</f>
        <v>0.95299999999999996</v>
      </c>
      <c r="E49" s="140"/>
      <c r="F49" s="293">
        <f t="shared" si="0"/>
        <v>0.8433700000000004</v>
      </c>
      <c r="G49" s="292"/>
      <c r="H49" s="293">
        <f t="shared" si="1"/>
        <v>0.88744000000000167</v>
      </c>
      <c r="J49" s="143">
        <f>+'Tabel 2025 52 weken incl. 27'!J49</f>
        <v>0.95599999999999996</v>
      </c>
      <c r="K49" s="141"/>
      <c r="L49" s="295">
        <f t="shared" si="2"/>
        <v>0.81124000000000029</v>
      </c>
      <c r="M49" s="294"/>
      <c r="N49" s="295">
        <f t="shared" si="3"/>
        <v>0.85888000000000164</v>
      </c>
    </row>
    <row r="50" spans="1:16" ht="15">
      <c r="A50" s="256">
        <f>+'Tabel 2025 52 weken incl. 27'!A50</f>
        <v>49109</v>
      </c>
      <c r="B50" s="256">
        <f>+'Tabel 2025 52 weken incl. 27'!B50</f>
        <v>50811</v>
      </c>
      <c r="D50" s="142">
        <f>+'Tabel 2025 52 weken incl. 27'!D50</f>
        <v>0.94599999999999995</v>
      </c>
      <c r="E50" s="140"/>
      <c r="F50" s="293">
        <f t="shared" si="0"/>
        <v>0.91834000000000038</v>
      </c>
      <c r="G50" s="292"/>
      <c r="H50" s="293">
        <f t="shared" si="1"/>
        <v>0.9540800000000017</v>
      </c>
      <c r="J50" s="143">
        <f>+'Tabel 2025 52 weken incl. 27'!J50</f>
        <v>0.95199999999999996</v>
      </c>
      <c r="K50" s="141"/>
      <c r="L50" s="295">
        <f t="shared" si="2"/>
        <v>0.85408000000000039</v>
      </c>
      <c r="M50" s="294"/>
      <c r="N50" s="295">
        <f t="shared" si="3"/>
        <v>0.89696000000000164</v>
      </c>
    </row>
    <row r="51" spans="1:16" ht="15">
      <c r="A51" s="256">
        <f>+'Tabel 2025 52 weken incl. 27'!A51</f>
        <v>50812</v>
      </c>
      <c r="B51" s="256">
        <f>+'Tabel 2025 52 weken incl. 27'!B51</f>
        <v>52519</v>
      </c>
      <c r="D51" s="142">
        <f>+'Tabel 2025 52 weken incl. 27'!D51</f>
        <v>0.93700000000000006</v>
      </c>
      <c r="E51" s="140"/>
      <c r="F51" s="293">
        <f t="shared" si="0"/>
        <v>1.0147299999999992</v>
      </c>
      <c r="G51" s="292"/>
      <c r="H51" s="293">
        <f t="shared" si="1"/>
        <v>1.0397600000000007</v>
      </c>
      <c r="J51" s="143">
        <f>+'Tabel 2025 52 weken incl. 27'!J51</f>
        <v>0.94799999999999995</v>
      </c>
      <c r="K51" s="141"/>
      <c r="L51" s="295">
        <f t="shared" si="2"/>
        <v>0.89692000000000038</v>
      </c>
      <c r="M51" s="294"/>
      <c r="N51" s="295">
        <f t="shared" si="3"/>
        <v>0.93504000000000165</v>
      </c>
    </row>
    <row r="52" spans="1:16" ht="15">
      <c r="A52" s="256">
        <f>+'Tabel 2025 52 weken incl. 27'!A52</f>
        <v>52520</v>
      </c>
      <c r="B52" s="256">
        <f>+'Tabel 2025 52 weken incl. 27'!B52</f>
        <v>54221</v>
      </c>
      <c r="D52" s="142">
        <f>+'Tabel 2025 52 weken incl. 27'!D52</f>
        <v>0.93100000000000005</v>
      </c>
      <c r="E52" s="140"/>
      <c r="F52" s="293">
        <f t="shared" si="0"/>
        <v>1.0789899999999992</v>
      </c>
      <c r="G52" s="292"/>
      <c r="H52" s="293">
        <f t="shared" si="1"/>
        <v>1.0968800000000007</v>
      </c>
      <c r="J52" s="143">
        <f>+'Tabel 2025 52 weken incl. 27'!J52</f>
        <v>0.94499999999999995</v>
      </c>
      <c r="K52" s="141"/>
      <c r="L52" s="295">
        <f t="shared" si="2"/>
        <v>0.92905000000000038</v>
      </c>
      <c r="M52" s="294"/>
      <c r="N52" s="295">
        <f t="shared" si="3"/>
        <v>0.96360000000000168</v>
      </c>
    </row>
    <row r="53" spans="1:16" ht="15">
      <c r="A53" s="256">
        <f>+'Tabel 2025 52 weken incl. 27'!A53</f>
        <v>54222</v>
      </c>
      <c r="B53" s="256">
        <f>+'Tabel 2025 52 weken incl. 27'!B53</f>
        <v>55925</v>
      </c>
      <c r="D53" s="142">
        <f>+'Tabel 2025 52 weken incl. 27'!D53</f>
        <v>0.92300000000000004</v>
      </c>
      <c r="E53" s="140"/>
      <c r="F53" s="293">
        <f t="shared" si="0"/>
        <v>1.1646699999999994</v>
      </c>
      <c r="G53" s="292"/>
      <c r="H53" s="293">
        <f t="shared" si="1"/>
        <v>1.1730400000000007</v>
      </c>
      <c r="J53" s="143">
        <f>+'Tabel 2025 52 weken incl. 27'!J53</f>
        <v>0.94499999999999995</v>
      </c>
      <c r="K53" s="141"/>
      <c r="L53" s="295">
        <f t="shared" si="2"/>
        <v>0.92905000000000038</v>
      </c>
      <c r="M53" s="294"/>
      <c r="N53" s="295">
        <f t="shared" si="3"/>
        <v>0.96360000000000168</v>
      </c>
    </row>
    <row r="54" spans="1:16" ht="15">
      <c r="A54" s="256">
        <f>+'Tabel 2025 52 weken incl. 27'!A54</f>
        <v>55926</v>
      </c>
      <c r="B54" s="256">
        <f>+'Tabel 2025 52 weken incl. 27'!B54</f>
        <v>57629</v>
      </c>
      <c r="D54" s="142">
        <f>+'Tabel 2025 52 weken incl. 27'!D54</f>
        <v>0.91600000000000004</v>
      </c>
      <c r="E54" s="140"/>
      <c r="F54" s="293">
        <f t="shared" si="0"/>
        <v>1.2396399999999996</v>
      </c>
      <c r="G54" s="292"/>
      <c r="H54" s="293">
        <f t="shared" si="1"/>
        <v>1.2396800000000008</v>
      </c>
      <c r="J54" s="143">
        <f>+'Tabel 2025 52 weken incl. 27'!J54</f>
        <v>0.94499999999999995</v>
      </c>
      <c r="K54" s="141"/>
      <c r="L54" s="295">
        <f t="shared" si="2"/>
        <v>0.92905000000000038</v>
      </c>
      <c r="M54" s="294"/>
      <c r="N54" s="295">
        <f t="shared" si="3"/>
        <v>0.96360000000000168</v>
      </c>
    </row>
    <row r="55" spans="1:16" ht="15">
      <c r="A55" s="256">
        <f>+'Tabel 2025 52 weken incl. 27'!A55</f>
        <v>57630</v>
      </c>
      <c r="B55" s="256">
        <f>+'Tabel 2025 52 weken incl. 27'!B55</f>
        <v>59492</v>
      </c>
      <c r="D55" s="142">
        <f>+'Tabel 2025 52 weken incl. 27'!D55</f>
        <v>0.90700000000000003</v>
      </c>
      <c r="E55" s="140"/>
      <c r="F55" s="293">
        <f t="shared" si="0"/>
        <v>1.3360299999999996</v>
      </c>
      <c r="G55" s="292"/>
      <c r="H55" s="293">
        <f t="shared" si="1"/>
        <v>1.325360000000001</v>
      </c>
      <c r="J55" s="143">
        <f>+'Tabel 2025 52 weken incl. 27'!J55</f>
        <v>0.94499999999999995</v>
      </c>
      <c r="K55" s="141"/>
      <c r="L55" s="295">
        <f t="shared" si="2"/>
        <v>0.92905000000000038</v>
      </c>
      <c r="M55" s="294"/>
      <c r="N55" s="295">
        <f t="shared" si="3"/>
        <v>0.96360000000000168</v>
      </c>
    </row>
    <row r="56" spans="1:16" ht="15">
      <c r="A56" s="256">
        <f>+'Tabel 2025 52 weken incl. 27'!A56</f>
        <v>59493</v>
      </c>
      <c r="B56" s="256">
        <f>+'Tabel 2025 52 weken incl. 27'!B56</f>
        <v>63144</v>
      </c>
      <c r="D56" s="142">
        <f>+'Tabel 2025 52 weken incl. 27'!D56</f>
        <v>0.89200000000000002</v>
      </c>
      <c r="E56" s="140"/>
      <c r="F56" s="293">
        <f t="shared" si="0"/>
        <v>1.4966799999999998</v>
      </c>
      <c r="G56" s="292"/>
      <c r="H56" s="293">
        <f t="shared" si="1"/>
        <v>1.468160000000001</v>
      </c>
      <c r="J56" s="143">
        <f>+'Tabel 2025 52 weken incl. 27'!J56</f>
        <v>0.94499999999999995</v>
      </c>
      <c r="K56" s="141"/>
      <c r="L56" s="295">
        <f t="shared" si="2"/>
        <v>0.92905000000000038</v>
      </c>
      <c r="M56" s="294"/>
      <c r="N56" s="295">
        <f t="shared" si="3"/>
        <v>0.96360000000000168</v>
      </c>
    </row>
    <row r="57" spans="1:16" ht="15">
      <c r="A57" s="256">
        <f>+'Tabel 2025 52 weken incl. 27'!A57</f>
        <v>63145</v>
      </c>
      <c r="B57" s="256">
        <f>+'Tabel 2025 52 weken incl. 27'!B57</f>
        <v>66794</v>
      </c>
      <c r="D57" s="142">
        <f>+'Tabel 2025 52 weken incl. 27'!D57</f>
        <v>0.88400000000000001</v>
      </c>
      <c r="E57" s="140"/>
      <c r="F57" s="293">
        <f t="shared" si="0"/>
        <v>1.5823599999999998</v>
      </c>
      <c r="G57" s="292"/>
      <c r="H57" s="293">
        <f t="shared" si="1"/>
        <v>1.5443200000000012</v>
      </c>
      <c r="J57" s="143">
        <f>+'Tabel 2025 52 weken incl. 27'!J57</f>
        <v>0.94099999999999995</v>
      </c>
      <c r="K57" s="141"/>
      <c r="L57" s="295">
        <f t="shared" si="2"/>
        <v>0.97189000000000048</v>
      </c>
      <c r="M57" s="294"/>
      <c r="N57" s="295">
        <f t="shared" si="3"/>
        <v>1.0016800000000017</v>
      </c>
    </row>
    <row r="58" spans="1:16" ht="15">
      <c r="A58" s="256">
        <f>+'Tabel 2025 52 weken incl. 27'!A58</f>
        <v>66795</v>
      </c>
      <c r="B58" s="256">
        <f>+'Tabel 2025 52 weken incl. 27'!B58</f>
        <v>70446</v>
      </c>
      <c r="D58" s="142">
        <f>+'Tabel 2025 52 weken incl. 27'!D58</f>
        <v>0.873</v>
      </c>
      <c r="E58" s="140"/>
      <c r="F58" s="293">
        <f t="shared" si="0"/>
        <v>1.70017</v>
      </c>
      <c r="G58" s="292"/>
      <c r="H58" s="293">
        <f t="shared" si="1"/>
        <v>1.6490400000000012</v>
      </c>
      <c r="J58" s="143">
        <f>+'Tabel 2025 52 weken incl. 27'!J58</f>
        <v>0.93500000000000005</v>
      </c>
      <c r="K58" s="141"/>
      <c r="L58" s="295">
        <f t="shared" si="2"/>
        <v>1.0361499999999992</v>
      </c>
      <c r="M58" s="294"/>
      <c r="N58" s="295">
        <f t="shared" si="3"/>
        <v>1.0588000000000006</v>
      </c>
    </row>
    <row r="59" spans="1:16" ht="15">
      <c r="A59" s="256">
        <f>+'Tabel 2025 52 weken incl. 27'!A59</f>
        <v>70447</v>
      </c>
      <c r="B59" s="256">
        <f>+'Tabel 2025 52 weken incl. 27'!B59</f>
        <v>74100</v>
      </c>
      <c r="D59" s="142">
        <f>+'Tabel 2025 52 weken incl. 27'!D59</f>
        <v>0.85</v>
      </c>
      <c r="E59" s="140"/>
      <c r="F59" s="293">
        <f t="shared" si="0"/>
        <v>1.9465000000000001</v>
      </c>
      <c r="G59" s="292"/>
      <c r="H59" s="293">
        <f t="shared" si="1"/>
        <v>1.8680000000000014</v>
      </c>
      <c r="J59" s="143">
        <f>+'Tabel 2025 52 weken incl. 27'!J59</f>
        <v>0.93100000000000005</v>
      </c>
      <c r="K59" s="141"/>
      <c r="L59" s="295">
        <f t="shared" si="2"/>
        <v>1.0789899999999992</v>
      </c>
      <c r="M59" s="294"/>
      <c r="N59" s="295">
        <f t="shared" si="3"/>
        <v>1.0968800000000007</v>
      </c>
    </row>
    <row r="60" spans="1:16" ht="15">
      <c r="A60" s="256">
        <f>+'Tabel 2025 52 weken incl. 27'!A60</f>
        <v>74101</v>
      </c>
      <c r="B60" s="256">
        <f>+'Tabel 2025 52 weken incl. 27'!B60</f>
        <v>77750</v>
      </c>
      <c r="D60" s="142">
        <f>+'Tabel 2025 52 weken incl. 27'!D60</f>
        <v>0.82699999999999996</v>
      </c>
      <c r="E60" s="140"/>
      <c r="F60" s="293">
        <f t="shared" si="0"/>
        <v>2.1928300000000007</v>
      </c>
      <c r="G60" s="292"/>
      <c r="H60" s="293">
        <f t="shared" si="1"/>
        <v>2.0869600000000017</v>
      </c>
      <c r="J60" s="143">
        <f>+'Tabel 2025 52 weken incl. 27'!J60</f>
        <v>0.92800000000000005</v>
      </c>
      <c r="K60" s="141"/>
      <c r="L60" s="295">
        <f t="shared" si="2"/>
        <v>1.1111199999999994</v>
      </c>
      <c r="M60" s="294"/>
      <c r="N60" s="295">
        <f t="shared" si="3"/>
        <v>1.1254400000000007</v>
      </c>
    </row>
    <row r="61" spans="1:16" ht="15">
      <c r="A61" s="256">
        <f>+'Tabel 2025 52 weken incl. 27'!A61</f>
        <v>77751</v>
      </c>
      <c r="B61" s="256">
        <f>+'Tabel 2025 52 weken incl. 27'!B61</f>
        <v>81404</v>
      </c>
      <c r="D61" s="142">
        <f>+'Tabel 2025 52 weken incl. 27'!D61</f>
        <v>0.80500000000000005</v>
      </c>
      <c r="E61" s="140"/>
      <c r="F61" s="293">
        <f t="shared" si="0"/>
        <v>2.4284499999999993</v>
      </c>
      <c r="G61" s="292"/>
      <c r="H61" s="293">
        <f t="shared" si="1"/>
        <v>2.2964000000000007</v>
      </c>
      <c r="J61" s="143">
        <f>+'Tabel 2025 52 weken incl. 27'!J61</f>
        <v>0.92100000000000004</v>
      </c>
      <c r="K61" s="141"/>
      <c r="L61" s="295">
        <f t="shared" si="2"/>
        <v>1.1860899999999996</v>
      </c>
      <c r="M61" s="294"/>
      <c r="N61" s="295">
        <f t="shared" si="3"/>
        <v>1.1920800000000007</v>
      </c>
    </row>
    <row r="62" spans="1:16" ht="15">
      <c r="A62" s="256">
        <f>+'Tabel 2025 52 weken incl. 27'!A62</f>
        <v>81405</v>
      </c>
      <c r="B62" s="256">
        <f>+'Tabel 2025 52 weken incl. 27'!B62</f>
        <v>85055</v>
      </c>
      <c r="D62" s="142">
        <f>+'Tabel 2025 52 weken incl. 27'!D62</f>
        <v>0.78</v>
      </c>
      <c r="E62" s="140"/>
      <c r="F62" s="293">
        <f t="shared" si="0"/>
        <v>2.6961999999999997</v>
      </c>
      <c r="G62" s="292"/>
      <c r="H62" s="293">
        <f t="shared" si="1"/>
        <v>2.5344000000000011</v>
      </c>
      <c r="J62" s="143">
        <f>+'Tabel 2025 52 weken incl. 27'!J62</f>
        <v>0.91600000000000004</v>
      </c>
      <c r="K62" s="141"/>
      <c r="L62" s="295">
        <f t="shared" si="2"/>
        <v>1.2396399999999996</v>
      </c>
      <c r="M62" s="294"/>
      <c r="N62" s="295">
        <f t="shared" si="3"/>
        <v>1.2396800000000008</v>
      </c>
    </row>
    <row r="63" spans="1:16" ht="15">
      <c r="A63" s="256">
        <f>+'Tabel 2025 52 weken incl. 27'!A63</f>
        <v>85056</v>
      </c>
      <c r="B63" s="256">
        <f>+'Tabel 2025 52 weken incl. 27'!B63</f>
        <v>88707</v>
      </c>
      <c r="D63" s="142">
        <f>+'Tabel 2025 52 weken incl. 27'!D63</f>
        <v>0.75700000000000001</v>
      </c>
      <c r="E63" s="140"/>
      <c r="F63" s="293">
        <f t="shared" si="0"/>
        <v>2.9425300000000001</v>
      </c>
      <c r="G63" s="292"/>
      <c r="H63" s="293">
        <f t="shared" si="1"/>
        <v>2.7533600000000011</v>
      </c>
      <c r="J63" s="143">
        <f>+'Tabel 2025 52 weken incl. 27'!J63</f>
        <v>0.91100000000000003</v>
      </c>
      <c r="K63" s="141"/>
      <c r="L63" s="295">
        <f t="shared" si="2"/>
        <v>1.2931899999999996</v>
      </c>
      <c r="M63" s="294"/>
      <c r="N63" s="295">
        <f t="shared" si="3"/>
        <v>1.2872800000000009</v>
      </c>
      <c r="P63" s="104"/>
    </row>
    <row r="64" spans="1:16" ht="15">
      <c r="A64" s="256">
        <f>+'Tabel 2025 52 weken incl. 27'!A64</f>
        <v>88708</v>
      </c>
      <c r="B64" s="256">
        <f>+'Tabel 2025 52 weken incl. 27'!B64</f>
        <v>92360</v>
      </c>
      <c r="D64" s="142">
        <f>+'Tabel 2025 52 weken incl. 27'!D64</f>
        <v>0.73499999999999999</v>
      </c>
      <c r="E64" s="140"/>
      <c r="F64" s="293">
        <f t="shared" si="0"/>
        <v>3.17815</v>
      </c>
      <c r="G64" s="292"/>
      <c r="H64" s="293">
        <f t="shared" si="1"/>
        <v>2.9628000000000014</v>
      </c>
      <c r="J64" s="143">
        <f>+'Tabel 2025 52 weken incl. 27'!J64</f>
        <v>0.90400000000000003</v>
      </c>
      <c r="K64" s="141"/>
      <c r="L64" s="295">
        <f t="shared" si="2"/>
        <v>1.3681599999999996</v>
      </c>
      <c r="M64" s="294"/>
      <c r="N64" s="295">
        <f t="shared" si="3"/>
        <v>1.3539200000000009</v>
      </c>
    </row>
    <row r="65" spans="1:16" ht="15">
      <c r="A65" s="256">
        <f>+'Tabel 2025 52 weken incl. 27'!A65</f>
        <v>92361</v>
      </c>
      <c r="B65" s="256">
        <f>+'Tabel 2025 52 weken incl. 27'!B65</f>
        <v>96010</v>
      </c>
      <c r="D65" s="142">
        <f>+'Tabel 2025 52 weken incl. 27'!D65</f>
        <v>0.71099999999999997</v>
      </c>
      <c r="E65" s="140"/>
      <c r="F65" s="293">
        <f t="shared" si="0"/>
        <v>3.4351900000000004</v>
      </c>
      <c r="G65" s="292"/>
      <c r="H65" s="293">
        <f t="shared" si="1"/>
        <v>3.1912800000000017</v>
      </c>
      <c r="J65" s="143">
        <f>+'Tabel 2025 52 weken incl. 27'!J65</f>
        <v>0.89800000000000002</v>
      </c>
      <c r="K65" s="141"/>
      <c r="L65" s="295">
        <f t="shared" si="2"/>
        <v>1.4324199999999998</v>
      </c>
      <c r="M65" s="294"/>
      <c r="N65" s="295">
        <f t="shared" si="3"/>
        <v>1.4110400000000012</v>
      </c>
    </row>
    <row r="66" spans="1:16" ht="15">
      <c r="A66" s="256">
        <f>+'Tabel 2025 52 weken incl. 27'!A66</f>
        <v>96011</v>
      </c>
      <c r="B66" s="256">
        <f>+'Tabel 2025 52 weken incl. 27'!B66</f>
        <v>99667</v>
      </c>
      <c r="D66" s="142">
        <f>+'Tabel 2025 52 weken incl. 27'!D66</f>
        <v>0.68899999999999995</v>
      </c>
      <c r="E66" s="140"/>
      <c r="F66" s="293">
        <f t="shared" si="0"/>
        <v>3.6708100000000008</v>
      </c>
      <c r="G66" s="292"/>
      <c r="H66" s="293">
        <f t="shared" si="1"/>
        <v>3.4007200000000015</v>
      </c>
      <c r="J66" s="143">
        <f>+'Tabel 2025 52 weken incl. 27'!J66</f>
        <v>0.89400000000000002</v>
      </c>
      <c r="K66" s="141"/>
      <c r="L66" s="295">
        <f t="shared" si="2"/>
        <v>1.4752599999999998</v>
      </c>
      <c r="M66" s="294"/>
      <c r="N66" s="295">
        <f t="shared" si="3"/>
        <v>1.4491200000000011</v>
      </c>
    </row>
    <row r="67" spans="1:16" ht="15">
      <c r="A67" s="256">
        <f>+'Tabel 2025 52 weken incl. 27'!A67</f>
        <v>99668</v>
      </c>
      <c r="B67" s="256">
        <f>+'Tabel 2025 52 weken incl. 27'!B67</f>
        <v>103318</v>
      </c>
      <c r="D67" s="142">
        <f>+'Tabel 2025 52 weken incl. 27'!D67</f>
        <v>0.66400000000000003</v>
      </c>
      <c r="E67" s="140"/>
      <c r="F67" s="293">
        <f t="shared" si="0"/>
        <v>3.9385599999999998</v>
      </c>
      <c r="G67" s="292"/>
      <c r="H67" s="293">
        <f t="shared" si="1"/>
        <v>3.6387200000000006</v>
      </c>
      <c r="J67" s="143">
        <f>+'Tabel 2025 52 weken incl. 27'!J67</f>
        <v>0.89100000000000001</v>
      </c>
      <c r="K67" s="141"/>
      <c r="L67" s="295">
        <f t="shared" si="2"/>
        <v>1.5073899999999998</v>
      </c>
      <c r="M67" s="294"/>
      <c r="N67" s="295">
        <f t="shared" si="3"/>
        <v>1.477680000000001</v>
      </c>
    </row>
    <row r="68" spans="1:16" ht="15">
      <c r="A68" s="256">
        <f>+'Tabel 2025 52 weken incl. 27'!A68</f>
        <v>103319</v>
      </c>
      <c r="B68" s="256">
        <f>+'Tabel 2025 52 weken incl. 27'!B68</f>
        <v>106968</v>
      </c>
      <c r="D68" s="142">
        <f>+'Tabel 2025 52 weken incl. 27'!D68</f>
        <v>0.64100000000000001</v>
      </c>
      <c r="E68" s="140"/>
      <c r="F68" s="293">
        <f t="shared" si="0"/>
        <v>4.1848900000000002</v>
      </c>
      <c r="G68" s="292"/>
      <c r="H68" s="293">
        <f t="shared" si="1"/>
        <v>3.8576800000000011</v>
      </c>
      <c r="J68" s="143">
        <f>+'Tabel 2025 52 weken incl. 27'!J68</f>
        <v>0.88400000000000001</v>
      </c>
      <c r="K68" s="141"/>
      <c r="L68" s="295">
        <f t="shared" si="2"/>
        <v>1.5823599999999998</v>
      </c>
      <c r="M68" s="294"/>
      <c r="N68" s="295">
        <f t="shared" si="3"/>
        <v>1.5443200000000012</v>
      </c>
    </row>
    <row r="69" spans="1:16" ht="15">
      <c r="A69" s="256">
        <f>+'Tabel 2025 52 weken incl. 27'!A69</f>
        <v>106969</v>
      </c>
      <c r="B69" s="256">
        <f>+'Tabel 2025 52 weken incl. 27'!B69</f>
        <v>110621</v>
      </c>
      <c r="D69" s="142">
        <f>+'Tabel 2025 52 weken incl. 27'!D69</f>
        <v>0.61899999999999999</v>
      </c>
      <c r="E69" s="140"/>
      <c r="F69" s="293">
        <f t="shared" si="0"/>
        <v>4.4205100000000002</v>
      </c>
      <c r="G69" s="292"/>
      <c r="H69" s="293">
        <f t="shared" si="1"/>
        <v>4.067120000000001</v>
      </c>
      <c r="J69" s="143">
        <f>+'Tabel 2025 52 weken incl. 27'!J69</f>
        <v>0.88</v>
      </c>
      <c r="K69" s="141"/>
      <c r="L69" s="295">
        <f t="shared" si="2"/>
        <v>1.6252</v>
      </c>
      <c r="M69" s="294"/>
      <c r="N69" s="295">
        <f t="shared" si="3"/>
        <v>1.5824000000000011</v>
      </c>
    </row>
    <row r="70" spans="1:16" ht="15">
      <c r="A70" s="256">
        <f>+'Tabel 2025 52 weken incl. 27'!A70</f>
        <v>110622</v>
      </c>
      <c r="B70" s="256">
        <f>+'Tabel 2025 52 weken incl. 27'!B70</f>
        <v>114344</v>
      </c>
      <c r="D70" s="142">
        <f>+'Tabel 2025 52 weken incl. 27'!D70</f>
        <v>0.59499999999999997</v>
      </c>
      <c r="E70" s="140"/>
      <c r="F70" s="293">
        <f t="shared" si="0"/>
        <v>4.6775500000000001</v>
      </c>
      <c r="G70" s="292"/>
      <c r="H70" s="293">
        <f t="shared" si="1"/>
        <v>4.2956000000000012</v>
      </c>
      <c r="J70" s="143">
        <f>+'Tabel 2025 52 weken incl. 27'!J70</f>
        <v>0.875</v>
      </c>
      <c r="K70" s="141"/>
      <c r="L70" s="295">
        <f t="shared" si="2"/>
        <v>1.67875</v>
      </c>
      <c r="M70" s="294"/>
      <c r="N70" s="295">
        <f t="shared" si="3"/>
        <v>1.6300000000000012</v>
      </c>
    </row>
    <row r="71" spans="1:16" ht="15">
      <c r="A71" s="256">
        <f>+'Tabel 2025 52 weken incl. 27'!A71</f>
        <v>114345</v>
      </c>
      <c r="B71" s="256">
        <f>+'Tabel 2025 52 weken incl. 27'!B71</f>
        <v>118086</v>
      </c>
      <c r="D71" s="142">
        <f>+'Tabel 2025 52 weken incl. 27'!D71</f>
        <v>0.57399999999999995</v>
      </c>
      <c r="E71" s="140"/>
      <c r="F71" s="293">
        <f t="shared" si="0"/>
        <v>4.9024600000000005</v>
      </c>
      <c r="G71" s="292"/>
      <c r="H71" s="293">
        <f t="shared" si="1"/>
        <v>4.4955200000000017</v>
      </c>
      <c r="J71" s="143">
        <f>+'Tabel 2025 52 weken incl. 27'!J71</f>
        <v>0.86799999999999999</v>
      </c>
      <c r="K71" s="141"/>
      <c r="L71" s="295">
        <f t="shared" si="2"/>
        <v>1.7537199999999999</v>
      </c>
      <c r="M71" s="294"/>
      <c r="N71" s="295">
        <f t="shared" si="3"/>
        <v>1.6966400000000013</v>
      </c>
    </row>
    <row r="72" spans="1:16" ht="15">
      <c r="A72" s="256">
        <f>+'Tabel 2025 52 weken incl. 27'!A72</f>
        <v>118087</v>
      </c>
      <c r="B72" s="256">
        <f>+'Tabel 2025 52 weken incl. 27'!B72</f>
        <v>121825</v>
      </c>
      <c r="D72" s="142">
        <f>+'Tabel 2025 52 weken incl. 27'!D72</f>
        <v>0.55300000000000005</v>
      </c>
      <c r="E72" s="140"/>
      <c r="F72" s="293">
        <f t="shared" si="0"/>
        <v>5.12737</v>
      </c>
      <c r="G72" s="292"/>
      <c r="H72" s="293">
        <f t="shared" si="1"/>
        <v>4.6954400000000005</v>
      </c>
      <c r="J72" s="143">
        <f>+'Tabel 2025 52 weken incl. 27'!J72</f>
        <v>0.86299999999999999</v>
      </c>
      <c r="K72" s="141"/>
      <c r="L72" s="295">
        <f t="shared" si="2"/>
        <v>1.8072700000000002</v>
      </c>
      <c r="M72" s="294"/>
      <c r="N72" s="295">
        <f t="shared" si="3"/>
        <v>1.7442400000000013</v>
      </c>
    </row>
    <row r="73" spans="1:16" ht="15">
      <c r="A73" s="256">
        <f>+'Tabel 2025 52 weken incl. 27'!A73</f>
        <v>121826</v>
      </c>
      <c r="B73" s="256">
        <f>+'Tabel 2025 52 weken incl. 27'!B73</f>
        <v>125565</v>
      </c>
      <c r="D73" s="142">
        <f>+'Tabel 2025 52 weken incl. 27'!D73</f>
        <v>0.53200000000000003</v>
      </c>
      <c r="E73" s="140"/>
      <c r="F73" s="293">
        <f t="shared" si="0"/>
        <v>5.3522800000000004</v>
      </c>
      <c r="G73" s="292"/>
      <c r="H73" s="293">
        <f t="shared" si="1"/>
        <v>4.895360000000001</v>
      </c>
      <c r="J73" s="143">
        <f>+'Tabel 2025 52 weken incl. 27'!J73</f>
        <v>0.85899999999999999</v>
      </c>
      <c r="K73" s="141"/>
      <c r="L73" s="295">
        <f t="shared" si="2"/>
        <v>1.8501100000000001</v>
      </c>
      <c r="M73" s="294"/>
      <c r="N73" s="295">
        <f t="shared" si="3"/>
        <v>1.7823200000000015</v>
      </c>
    </row>
    <row r="74" spans="1:16" ht="15">
      <c r="A74" s="256">
        <f>+'Tabel 2025 52 weken incl. 27'!A74</f>
        <v>125566</v>
      </c>
      <c r="B74" s="256">
        <f>+'Tabel 2025 52 weken incl. 27'!B74</f>
        <v>129303</v>
      </c>
      <c r="D74" s="142">
        <f>+'Tabel 2025 52 weken incl. 27'!D74</f>
        <v>0.51</v>
      </c>
      <c r="E74" s="140"/>
      <c r="F74" s="293">
        <f t="shared" si="0"/>
        <v>5.5879000000000003</v>
      </c>
      <c r="G74" s="292"/>
      <c r="H74" s="293">
        <f t="shared" si="1"/>
        <v>5.1048000000000009</v>
      </c>
      <c r="J74" s="143">
        <f>+'Tabel 2025 52 weken incl. 27'!J74</f>
        <v>0.85599999999999998</v>
      </c>
      <c r="K74" s="141"/>
      <c r="L74" s="295">
        <f t="shared" si="2"/>
        <v>1.8822400000000001</v>
      </c>
      <c r="M74" s="294"/>
      <c r="N74" s="295">
        <f t="shared" si="3"/>
        <v>1.8108800000000014</v>
      </c>
    </row>
    <row r="75" spans="1:16" ht="15">
      <c r="A75" s="256">
        <f>+'Tabel 2025 52 weken incl. 27'!A75</f>
        <v>129304</v>
      </c>
      <c r="B75" s="256">
        <f>+'Tabel 2025 52 weken incl. 27'!B75</f>
        <v>133045</v>
      </c>
      <c r="D75" s="142">
        <f>+'Tabel 2025 52 weken incl. 27'!D75</f>
        <v>0.49099999999999999</v>
      </c>
      <c r="E75" s="140"/>
      <c r="F75" s="293">
        <f t="shared" si="0"/>
        <v>5.7913900000000007</v>
      </c>
      <c r="G75" s="292"/>
      <c r="H75" s="293">
        <f t="shared" si="1"/>
        <v>5.285680000000001</v>
      </c>
      <c r="J75" s="143">
        <f>+'Tabel 2025 52 weken incl. 27'!J75</f>
        <v>0.84899999999999998</v>
      </c>
      <c r="K75" s="141"/>
      <c r="L75" s="295">
        <f t="shared" si="2"/>
        <v>1.9572100000000003</v>
      </c>
      <c r="M75" s="294"/>
      <c r="N75" s="295">
        <f t="shared" si="3"/>
        <v>1.8775200000000014</v>
      </c>
    </row>
    <row r="76" spans="1:16" ht="15">
      <c r="A76" s="256">
        <f>+'Tabel 2025 52 weken incl. 27'!A76</f>
        <v>133046</v>
      </c>
      <c r="B76" s="256">
        <f>+'Tabel 2025 52 weken incl. 27'!B76</f>
        <v>136786</v>
      </c>
      <c r="D76" s="142">
        <f>+'Tabel 2025 52 weken incl. 27'!D76</f>
        <v>0.47199999999999998</v>
      </c>
      <c r="E76" s="140"/>
      <c r="F76" s="293">
        <f t="shared" si="0"/>
        <v>5.9948800000000002</v>
      </c>
      <c r="G76" s="292"/>
      <c r="H76" s="293">
        <f t="shared" si="1"/>
        <v>5.4665600000000012</v>
      </c>
      <c r="J76" s="143">
        <f>+'Tabel 2025 52 weken incl. 27'!J76</f>
        <v>0.84299999999999997</v>
      </c>
      <c r="K76" s="141"/>
      <c r="L76" s="295">
        <f t="shared" si="2"/>
        <v>2.0214700000000003</v>
      </c>
      <c r="M76" s="294"/>
      <c r="N76" s="295">
        <f t="shared" si="3"/>
        <v>1.9346400000000015</v>
      </c>
    </row>
    <row r="77" spans="1:16" ht="15">
      <c r="A77" s="256">
        <f>+'Tabel 2025 52 weken incl. 27'!A77</f>
        <v>136787</v>
      </c>
      <c r="B77" s="256">
        <f>+'Tabel 2025 52 weken incl. 27'!B77</f>
        <v>140528</v>
      </c>
      <c r="D77" s="142">
        <f>+'Tabel 2025 52 weken incl. 27'!D77</f>
        <v>0.45300000000000001</v>
      </c>
      <c r="E77" s="140"/>
      <c r="F77" s="293">
        <f t="shared" si="0"/>
        <v>6.1983699999999997</v>
      </c>
      <c r="G77" s="292"/>
      <c r="H77" s="293">
        <f t="shared" si="1"/>
        <v>5.6474400000000005</v>
      </c>
      <c r="J77" s="143">
        <f>+'Tabel 2025 52 weken incl. 27'!J77</f>
        <v>0.83899999999999997</v>
      </c>
      <c r="K77" s="141"/>
      <c r="L77" s="295">
        <f t="shared" si="2"/>
        <v>2.0643100000000003</v>
      </c>
      <c r="M77" s="294"/>
      <c r="N77" s="295">
        <f t="shared" si="3"/>
        <v>1.9727200000000016</v>
      </c>
    </row>
    <row r="78" spans="1:16" ht="15">
      <c r="A78" s="256">
        <f>+'Tabel 2025 52 weken incl. 27'!A78</f>
        <v>140529</v>
      </c>
      <c r="B78" s="256">
        <f>+'Tabel 2025 52 weken incl. 27'!B78</f>
        <v>144264</v>
      </c>
      <c r="D78" s="142">
        <f>+'Tabel 2025 52 weken incl. 27'!D78</f>
        <v>0.433</v>
      </c>
      <c r="E78" s="140"/>
      <c r="F78" s="293">
        <f t="shared" si="0"/>
        <v>6.4125699999999997</v>
      </c>
      <c r="G78" s="292"/>
      <c r="H78" s="293">
        <f t="shared" si="1"/>
        <v>5.8378400000000008</v>
      </c>
      <c r="J78" s="143">
        <f>+'Tabel 2025 52 weken incl. 27'!J78</f>
        <v>0.83299999999999996</v>
      </c>
      <c r="K78" s="141"/>
      <c r="L78" s="295">
        <f t="shared" si="2"/>
        <v>2.1285700000000003</v>
      </c>
      <c r="M78" s="294"/>
      <c r="N78" s="295">
        <f t="shared" si="3"/>
        <v>2.0298400000000019</v>
      </c>
      <c r="O78" s="106"/>
      <c r="P78" s="10"/>
    </row>
    <row r="79" spans="1:16" ht="15">
      <c r="A79" s="256">
        <f>+'Tabel 2025 52 weken incl. 27'!A79</f>
        <v>144265</v>
      </c>
      <c r="B79" s="256">
        <f>+'Tabel 2025 52 weken incl. 27'!B79</f>
        <v>148003</v>
      </c>
      <c r="D79" s="142">
        <f>+'Tabel 2025 52 weken incl. 27'!D79</f>
        <v>0.41299999999999998</v>
      </c>
      <c r="E79" s="140"/>
      <c r="F79" s="293">
        <f t="shared" si="0"/>
        <v>6.6267699999999996</v>
      </c>
      <c r="G79" s="292"/>
      <c r="H79" s="293">
        <f t="shared" si="1"/>
        <v>6.0282400000000003</v>
      </c>
      <c r="J79" s="143">
        <f>+'Tabel 2025 52 weken incl. 27'!J79</f>
        <v>0.82899999999999996</v>
      </c>
      <c r="K79" s="141"/>
      <c r="L79" s="295">
        <f t="shared" si="2"/>
        <v>2.1714100000000007</v>
      </c>
      <c r="M79" s="294"/>
      <c r="N79" s="295">
        <f t="shared" si="3"/>
        <v>2.0679200000000018</v>
      </c>
    </row>
    <row r="80" spans="1:16" ht="15">
      <c r="A80" s="256">
        <f>+'Tabel 2025 52 weken incl. 27'!A80</f>
        <v>148004</v>
      </c>
      <c r="B80" s="256">
        <f>+'Tabel 2025 52 weken incl. 27'!B80</f>
        <v>151746</v>
      </c>
      <c r="D80" s="142">
        <f>+'Tabel 2025 52 weken incl. 27'!D80</f>
        <v>0.39300000000000002</v>
      </c>
      <c r="E80" s="140"/>
      <c r="F80" s="293">
        <f t="shared" si="0"/>
        <v>6.8409700000000004</v>
      </c>
      <c r="G80" s="292"/>
      <c r="H80" s="293">
        <f t="shared" si="1"/>
        <v>6.2186400000000006</v>
      </c>
      <c r="J80" s="143">
        <f>+'Tabel 2025 52 weken incl. 27'!J80</f>
        <v>0.82199999999999995</v>
      </c>
      <c r="K80" s="141"/>
      <c r="L80" s="295">
        <f t="shared" si="2"/>
        <v>2.2463800000000003</v>
      </c>
      <c r="M80" s="294"/>
      <c r="N80" s="295">
        <f t="shared" si="3"/>
        <v>2.1345600000000013</v>
      </c>
    </row>
    <row r="81" spans="1:14" ht="15">
      <c r="A81" s="256">
        <f>+'Tabel 2025 52 weken incl. 27'!A81</f>
        <v>151747</v>
      </c>
      <c r="B81" s="256">
        <f>+'Tabel 2025 52 weken incl. 27'!B81</f>
        <v>155484</v>
      </c>
      <c r="D81" s="142">
        <f>+'Tabel 2025 52 weken incl. 27'!D81</f>
        <v>0.373</v>
      </c>
      <c r="E81" s="140"/>
      <c r="F81" s="293">
        <f t="shared" si="0"/>
        <v>7.0551700000000004</v>
      </c>
      <c r="G81" s="292"/>
      <c r="H81" s="293">
        <f t="shared" si="1"/>
        <v>6.409040000000001</v>
      </c>
      <c r="J81" s="143">
        <f>+'Tabel 2025 52 weken incl. 27'!J81</f>
        <v>0.81599999999999995</v>
      </c>
      <c r="K81" s="141"/>
      <c r="L81" s="295">
        <f t="shared" si="2"/>
        <v>2.3106400000000002</v>
      </c>
      <c r="M81" s="294"/>
      <c r="N81" s="295">
        <f t="shared" si="3"/>
        <v>2.1916800000000016</v>
      </c>
    </row>
    <row r="82" spans="1:14" ht="15">
      <c r="A82" s="256">
        <f>+'Tabel 2025 52 weken incl. 27'!A82</f>
        <v>155485</v>
      </c>
      <c r="B82" s="256">
        <f>+'Tabel 2025 52 weken incl. 27'!B82</f>
        <v>159224</v>
      </c>
      <c r="D82" s="142">
        <f>+'Tabel 2025 52 weken incl. 27'!D82</f>
        <v>0.35299999999999998</v>
      </c>
      <c r="E82" s="140"/>
      <c r="F82" s="293">
        <f t="shared" si="0"/>
        <v>7.2693700000000003</v>
      </c>
      <c r="G82" s="292"/>
      <c r="H82" s="293">
        <f t="shared" si="1"/>
        <v>6.5994400000000013</v>
      </c>
      <c r="J82" s="143">
        <f>+'Tabel 2025 52 weken incl. 27'!J82</f>
        <v>0.80600000000000005</v>
      </c>
      <c r="K82" s="141"/>
      <c r="L82" s="295">
        <f t="shared" si="2"/>
        <v>2.4177399999999993</v>
      </c>
      <c r="M82" s="294"/>
      <c r="N82" s="295">
        <f t="shared" si="3"/>
        <v>2.2868800000000009</v>
      </c>
    </row>
    <row r="83" spans="1:14" ht="15">
      <c r="A83" s="256">
        <f>+'Tabel 2025 52 weken incl. 27'!A83</f>
        <v>159225</v>
      </c>
      <c r="B83" s="256">
        <f>+'Tabel 2025 52 weken incl. 27'!B83</f>
        <v>162963</v>
      </c>
      <c r="D83" s="142">
        <f>+'Tabel 2025 52 weken incl. 27'!D83</f>
        <v>0.33300000000000002</v>
      </c>
      <c r="E83" s="140"/>
      <c r="F83" s="293">
        <f t="shared" si="0"/>
        <v>7.4835700000000012</v>
      </c>
      <c r="G83" s="292"/>
      <c r="H83" s="293">
        <f t="shared" si="1"/>
        <v>6.7898400000000017</v>
      </c>
      <c r="J83" s="143">
        <f>+'Tabel 2025 52 weken incl. 27'!J83</f>
        <v>0.80300000000000005</v>
      </c>
      <c r="K83" s="141"/>
      <c r="L83" s="295">
        <f t="shared" si="2"/>
        <v>2.4498699999999993</v>
      </c>
      <c r="M83" s="294"/>
      <c r="N83" s="295">
        <f t="shared" si="3"/>
        <v>2.3154400000000006</v>
      </c>
    </row>
    <row r="84" spans="1:14" ht="15">
      <c r="A84" s="256">
        <f>+'Tabel 2025 52 weken incl. 27'!A84</f>
        <v>162964</v>
      </c>
      <c r="B84" s="256">
        <f>+'Tabel 2025 52 weken incl. 27'!B84</f>
        <v>166705</v>
      </c>
      <c r="D84" s="142">
        <f>+'Tabel 2025 52 weken incl. 27'!D84</f>
        <v>0.33300000000000002</v>
      </c>
      <c r="E84" s="140"/>
      <c r="F84" s="293">
        <f t="shared" si="0"/>
        <v>7.4835700000000012</v>
      </c>
      <c r="G84" s="292"/>
      <c r="H84" s="293">
        <f t="shared" si="1"/>
        <v>6.7898400000000017</v>
      </c>
      <c r="J84" s="143">
        <f>+'Tabel 2025 52 weken incl. 27'!J84</f>
        <v>0.79500000000000004</v>
      </c>
      <c r="K84" s="141"/>
      <c r="L84" s="295">
        <f t="shared" si="2"/>
        <v>2.5355499999999997</v>
      </c>
      <c r="M84" s="294"/>
      <c r="N84" s="295">
        <f t="shared" si="3"/>
        <v>2.3916000000000008</v>
      </c>
    </row>
    <row r="85" spans="1:14" ht="15">
      <c r="A85" s="256">
        <f>+'Tabel 2025 52 weken incl. 27'!A85</f>
        <v>166706</v>
      </c>
      <c r="B85" s="256">
        <f>+'Tabel 2025 52 weken incl. 27'!B85</f>
        <v>170449</v>
      </c>
      <c r="D85" s="142">
        <f>+'Tabel 2025 52 weken incl. 27'!D85</f>
        <v>0.33300000000000002</v>
      </c>
      <c r="E85" s="140"/>
      <c r="F85" s="293">
        <f t="shared" si="0"/>
        <v>7.4835700000000012</v>
      </c>
      <c r="G85" s="292"/>
      <c r="H85" s="293">
        <f t="shared" si="1"/>
        <v>6.7898400000000017</v>
      </c>
      <c r="J85" s="143">
        <f>+'Tabel 2025 52 weken incl. 27'!J85</f>
        <v>0.78600000000000003</v>
      </c>
      <c r="K85" s="141"/>
      <c r="L85" s="295">
        <f t="shared" si="2"/>
        <v>2.6319399999999997</v>
      </c>
      <c r="M85" s="294"/>
      <c r="N85" s="295">
        <f t="shared" si="3"/>
        <v>2.4772800000000008</v>
      </c>
    </row>
    <row r="86" spans="1:14" ht="15">
      <c r="A86" s="256">
        <f>+'Tabel 2025 52 weken incl. 27'!A86</f>
        <v>170450</v>
      </c>
      <c r="B86" s="256">
        <f>+'Tabel 2025 52 weken incl. 27'!B86</f>
        <v>174186</v>
      </c>
      <c r="D86" s="142">
        <f>+'Tabel 2025 52 weken incl. 27'!D86</f>
        <v>0.33300000000000002</v>
      </c>
      <c r="E86" s="140"/>
      <c r="F86" s="293">
        <f t="shared" si="0"/>
        <v>7.4835700000000012</v>
      </c>
      <c r="G86" s="292"/>
      <c r="H86" s="293">
        <f t="shared" si="1"/>
        <v>6.7898400000000017</v>
      </c>
      <c r="J86" s="143">
        <f>+'Tabel 2025 52 weken incl. 27'!J86</f>
        <v>0.78</v>
      </c>
      <c r="K86" s="141"/>
      <c r="L86" s="295">
        <f t="shared" si="2"/>
        <v>2.6961999999999997</v>
      </c>
      <c r="M86" s="294"/>
      <c r="N86" s="295">
        <f t="shared" si="3"/>
        <v>2.5344000000000011</v>
      </c>
    </row>
    <row r="87" spans="1:14" ht="15">
      <c r="A87" s="256">
        <f>+'Tabel 2025 52 weken incl. 27'!A87</f>
        <v>174187</v>
      </c>
      <c r="B87" s="256">
        <f>+'Tabel 2025 52 weken incl. 27'!B87</f>
        <v>177926</v>
      </c>
      <c r="D87" s="142">
        <f>+'Tabel 2025 52 weken incl. 27'!D87</f>
        <v>0.33300000000000002</v>
      </c>
      <c r="E87" s="140"/>
      <c r="F87" s="293">
        <f t="shared" si="0"/>
        <v>7.4835700000000012</v>
      </c>
      <c r="G87" s="292"/>
      <c r="H87" s="293">
        <f t="shared" si="1"/>
        <v>6.7898400000000017</v>
      </c>
      <c r="J87" s="143">
        <f>+'Tabel 2025 52 weken incl. 27'!J87</f>
        <v>0.77100000000000002</v>
      </c>
      <c r="K87" s="141"/>
      <c r="L87" s="295">
        <f t="shared" si="2"/>
        <v>2.7925899999999997</v>
      </c>
      <c r="M87" s="294"/>
      <c r="N87" s="295">
        <f t="shared" si="3"/>
        <v>2.6200800000000011</v>
      </c>
    </row>
    <row r="88" spans="1:14" ht="15">
      <c r="A88" s="256">
        <f>+'Tabel 2025 52 weken incl. 27'!A88</f>
        <v>177927</v>
      </c>
      <c r="B88" s="256">
        <f>+'Tabel 2025 52 weken incl. 27'!B88</f>
        <v>181663</v>
      </c>
      <c r="D88" s="142">
        <f>+'Tabel 2025 52 weken incl. 27'!D88</f>
        <v>0.33300000000000002</v>
      </c>
      <c r="E88" s="140"/>
      <c r="F88" s="293">
        <f t="shared" si="0"/>
        <v>7.4835700000000012</v>
      </c>
      <c r="G88" s="292"/>
      <c r="H88" s="293">
        <f t="shared" si="1"/>
        <v>6.7898400000000017</v>
      </c>
      <c r="J88" s="143">
        <f>+'Tabel 2025 52 weken incl. 27'!J88</f>
        <v>0.76600000000000001</v>
      </c>
      <c r="K88" s="141"/>
      <c r="L88" s="295">
        <f t="shared" si="2"/>
        <v>2.8461400000000001</v>
      </c>
      <c r="M88" s="294"/>
      <c r="N88" s="295">
        <f t="shared" si="3"/>
        <v>2.6676800000000012</v>
      </c>
    </row>
    <row r="89" spans="1:14" ht="15">
      <c r="A89" s="256">
        <f>+'Tabel 2025 52 weken incl. 27'!A89</f>
        <v>181664</v>
      </c>
      <c r="B89" s="256">
        <f>+'Tabel 2025 52 weken incl. 27'!B89</f>
        <v>185406</v>
      </c>
      <c r="D89" s="142">
        <f>+'Tabel 2025 52 weken incl. 27'!D89</f>
        <v>0.33300000000000002</v>
      </c>
      <c r="E89" s="140"/>
      <c r="F89" s="293">
        <f t="shared" si="0"/>
        <v>7.4835700000000012</v>
      </c>
      <c r="G89" s="292"/>
      <c r="H89" s="293">
        <f t="shared" si="1"/>
        <v>6.7898400000000017</v>
      </c>
      <c r="J89" s="143">
        <f>+'Tabel 2025 52 weken incl. 27'!J89</f>
        <v>0.75800000000000001</v>
      </c>
      <c r="K89" s="141"/>
      <c r="L89" s="295">
        <f t="shared" si="2"/>
        <v>2.9318200000000001</v>
      </c>
      <c r="M89" s="294"/>
      <c r="N89" s="295">
        <f t="shared" si="3"/>
        <v>2.7438400000000009</v>
      </c>
    </row>
    <row r="90" spans="1:14" ht="15">
      <c r="A90" s="256">
        <f>+'Tabel 2025 52 weken incl. 27'!A90</f>
        <v>185407</v>
      </c>
      <c r="B90" s="256">
        <f>+'Tabel 2025 52 weken incl. 27'!B90</f>
        <v>189147</v>
      </c>
      <c r="D90" s="142">
        <f>+'Tabel 2025 52 weken incl. 27'!D90</f>
        <v>0.33300000000000002</v>
      </c>
      <c r="E90" s="140"/>
      <c r="F90" s="293">
        <f t="shared" si="0"/>
        <v>7.4835700000000012</v>
      </c>
      <c r="G90" s="292"/>
      <c r="H90" s="293">
        <f t="shared" si="1"/>
        <v>6.7898400000000017</v>
      </c>
      <c r="J90" s="143">
        <f>+'Tabel 2025 52 weken incl. 27'!J90</f>
        <v>0.751</v>
      </c>
      <c r="K90" s="141"/>
      <c r="L90" s="295">
        <f t="shared" si="2"/>
        <v>3.0067900000000001</v>
      </c>
      <c r="M90" s="294"/>
      <c r="N90" s="295">
        <f t="shared" si="3"/>
        <v>2.810480000000001</v>
      </c>
    </row>
    <row r="91" spans="1:14" ht="15">
      <c r="A91" s="256">
        <f>+'Tabel 2025 52 weken incl. 27'!A91</f>
        <v>189148</v>
      </c>
      <c r="B91" s="256">
        <f>+'Tabel 2025 52 weken incl. 27'!B91</f>
        <v>192888</v>
      </c>
      <c r="D91" s="142">
        <f>+'Tabel 2025 52 weken incl. 27'!D91</f>
        <v>0.33300000000000002</v>
      </c>
      <c r="E91" s="140"/>
      <c r="F91" s="293">
        <f t="shared" si="0"/>
        <v>7.4835700000000012</v>
      </c>
      <c r="G91" s="292"/>
      <c r="H91" s="293">
        <f t="shared" si="1"/>
        <v>6.7898400000000017</v>
      </c>
      <c r="J91" s="143">
        <f>+'Tabel 2025 52 weken incl. 27'!J91</f>
        <v>0.74399999999999999</v>
      </c>
      <c r="K91" s="141"/>
      <c r="L91" s="295">
        <f t="shared" si="2"/>
        <v>3.0817600000000001</v>
      </c>
      <c r="M91" s="294"/>
      <c r="N91" s="295">
        <f t="shared" si="3"/>
        <v>2.877120000000001</v>
      </c>
    </row>
    <row r="92" spans="1:14" ht="15">
      <c r="A92" s="256">
        <f>+'Tabel 2025 52 weken incl. 27'!A92</f>
        <v>192889</v>
      </c>
      <c r="B92" s="256">
        <f>+'Tabel 2025 52 weken incl. 27'!B92</f>
        <v>196627</v>
      </c>
      <c r="D92" s="142">
        <f>+'Tabel 2025 52 weken incl. 27'!D92</f>
        <v>0.33300000000000002</v>
      </c>
      <c r="E92" s="140"/>
      <c r="F92" s="293">
        <f t="shared" si="0"/>
        <v>7.4835700000000012</v>
      </c>
      <c r="G92" s="292"/>
      <c r="H92" s="293">
        <f t="shared" si="1"/>
        <v>6.7898400000000017</v>
      </c>
      <c r="J92" s="143">
        <f>+'Tabel 2025 52 weken incl. 27'!J92</f>
        <v>0.73399999999999999</v>
      </c>
      <c r="K92" s="141"/>
      <c r="L92" s="295">
        <f t="shared" si="2"/>
        <v>3.18886</v>
      </c>
      <c r="M92" s="294"/>
      <c r="N92" s="295">
        <f t="shared" si="3"/>
        <v>2.9723200000000012</v>
      </c>
    </row>
    <row r="93" spans="1:14" ht="15">
      <c r="A93" s="256">
        <f>+'Tabel 2025 52 weken incl. 27'!A93</f>
        <v>196628</v>
      </c>
      <c r="B93" s="256">
        <f>+'Tabel 2025 52 weken incl. 27'!B93</f>
        <v>200363</v>
      </c>
      <c r="D93" s="142">
        <f>+'Tabel 2025 52 weken incl. 27'!D93</f>
        <v>0.33300000000000002</v>
      </c>
      <c r="E93" s="140"/>
      <c r="F93" s="293">
        <f t="shared" si="0"/>
        <v>7.4835700000000012</v>
      </c>
      <c r="G93" s="292"/>
      <c r="H93" s="293">
        <f t="shared" si="1"/>
        <v>6.7898400000000017</v>
      </c>
      <c r="J93" s="143">
        <f>+'Tabel 2025 52 weken incl. 27'!J93</f>
        <v>0.72899999999999998</v>
      </c>
      <c r="K93" s="141"/>
      <c r="L93" s="295">
        <f t="shared" si="2"/>
        <v>3.2424100000000005</v>
      </c>
      <c r="M93" s="294"/>
      <c r="N93" s="295">
        <f t="shared" si="3"/>
        <v>3.0199200000000013</v>
      </c>
    </row>
    <row r="94" spans="1:14" ht="15">
      <c r="A94" s="256">
        <f>+'Tabel 2025 52 weken incl. 27'!A94</f>
        <v>200364</v>
      </c>
      <c r="B94" s="256">
        <f>+'Tabel 2025 52 weken incl. 27'!B94</f>
        <v>204107</v>
      </c>
      <c r="D94" s="142">
        <f>+'Tabel 2025 52 weken incl. 27'!D94</f>
        <v>0.33300000000000002</v>
      </c>
      <c r="E94" s="140"/>
      <c r="F94" s="293">
        <f t="shared" si="0"/>
        <v>7.4835700000000012</v>
      </c>
      <c r="G94" s="292"/>
      <c r="H94" s="293">
        <f t="shared" si="1"/>
        <v>6.7898400000000017</v>
      </c>
      <c r="J94" s="143">
        <f>+'Tabel 2025 52 weken incl. 27'!J94</f>
        <v>0.72199999999999998</v>
      </c>
      <c r="K94" s="141"/>
      <c r="L94" s="295">
        <f t="shared" si="2"/>
        <v>3.3173800000000004</v>
      </c>
      <c r="M94" s="294"/>
      <c r="N94" s="295">
        <f t="shared" si="3"/>
        <v>3.0865600000000013</v>
      </c>
    </row>
    <row r="95" spans="1:14" ht="15">
      <c r="A95" s="256">
        <f>+'Tabel 2025 52 weken incl. 27'!A95</f>
        <v>204108</v>
      </c>
      <c r="B95" s="256">
        <f>+'Tabel 2025 52 weken incl. 27'!B95</f>
        <v>207845</v>
      </c>
      <c r="D95" s="142">
        <f>+'Tabel 2025 52 weken incl. 27'!D95</f>
        <v>0.33300000000000002</v>
      </c>
      <c r="E95" s="140"/>
      <c r="F95" s="293">
        <f t="shared" si="0"/>
        <v>7.4835700000000012</v>
      </c>
      <c r="G95" s="292"/>
      <c r="H95" s="293">
        <f t="shared" si="1"/>
        <v>6.7898400000000017</v>
      </c>
      <c r="J95" s="143">
        <f>+'Tabel 2025 52 weken incl. 27'!J95</f>
        <v>0.71399999999999997</v>
      </c>
      <c r="K95" s="141"/>
      <c r="L95" s="295">
        <f t="shared" si="2"/>
        <v>3.4030600000000004</v>
      </c>
      <c r="M95" s="294"/>
      <c r="N95" s="295">
        <f t="shared" si="3"/>
        <v>3.1627200000000015</v>
      </c>
    </row>
    <row r="96" spans="1:14" ht="15">
      <c r="A96" s="256">
        <f>+'Tabel 2025 52 weken incl. 27'!A96</f>
        <v>207846</v>
      </c>
      <c r="B96" s="256">
        <f>+'Tabel 2025 52 weken incl. 27'!B96</f>
        <v>211586</v>
      </c>
      <c r="D96" s="142">
        <f>+'Tabel 2025 52 weken incl. 27'!D96</f>
        <v>0.33300000000000002</v>
      </c>
      <c r="E96" s="140"/>
      <c r="F96" s="293">
        <f t="shared" si="0"/>
        <v>7.4835700000000012</v>
      </c>
      <c r="G96" s="292"/>
      <c r="H96" s="293">
        <f t="shared" si="1"/>
        <v>6.7898400000000017</v>
      </c>
      <c r="J96" s="143">
        <f>+'Tabel 2025 52 weken incl. 27'!J96</f>
        <v>0.70699999999999996</v>
      </c>
      <c r="K96" s="141"/>
      <c r="L96" s="295">
        <f t="shared" si="2"/>
        <v>3.4780300000000004</v>
      </c>
      <c r="M96" s="294"/>
      <c r="N96" s="295">
        <f t="shared" si="3"/>
        <v>3.2293600000000016</v>
      </c>
    </row>
    <row r="97" spans="1:14" ht="15">
      <c r="A97" s="256">
        <f>+'Tabel 2025 52 weken incl. 27'!A97</f>
        <v>211587</v>
      </c>
      <c r="B97" s="256">
        <f>+'Tabel 2025 52 weken incl. 27'!B97</f>
        <v>215327</v>
      </c>
      <c r="D97" s="142">
        <f>+'Tabel 2025 52 weken incl. 27'!D97</f>
        <v>0.33300000000000002</v>
      </c>
      <c r="E97" s="140"/>
      <c r="F97" s="293">
        <f t="shared" si="0"/>
        <v>7.4835700000000012</v>
      </c>
      <c r="G97" s="292"/>
      <c r="H97" s="293">
        <f t="shared" si="1"/>
        <v>6.7898400000000017</v>
      </c>
      <c r="J97" s="143">
        <f>+'Tabel 2025 52 weken incl. 27'!J97</f>
        <v>0.70099999999999996</v>
      </c>
      <c r="K97" s="141"/>
      <c r="L97" s="295">
        <f t="shared" si="2"/>
        <v>3.5422900000000004</v>
      </c>
      <c r="M97" s="294"/>
      <c r="N97" s="295">
        <f t="shared" si="3"/>
        <v>3.2864800000000014</v>
      </c>
    </row>
    <row r="98" spans="1:14" ht="15">
      <c r="A98" s="256">
        <f>+'Tabel 2025 52 weken incl. 27'!A98</f>
        <v>215328</v>
      </c>
      <c r="B98" s="256">
        <f>+'Tabel 2025 52 weken incl. 27'!B98</f>
        <v>219065</v>
      </c>
      <c r="D98" s="142">
        <f>+'Tabel 2025 52 weken incl. 27'!D98</f>
        <v>0.33300000000000002</v>
      </c>
      <c r="E98" s="140"/>
      <c r="F98" s="293">
        <f t="shared" ref="F98:F101" si="4">IF($D$19&gt;=$F$28,($F$28*(100%-D98))+($F$19),$D$19*(100%-D98)+$F$19)</f>
        <v>7.4835700000000012</v>
      </c>
      <c r="G98" s="292"/>
      <c r="H98" s="293">
        <f t="shared" ref="H98:H101" si="5">IF($D$20&gt;=$H$28,($H$28*(100%-D98))+($F$20),$D$20*(100%-D98)+($F$20))</f>
        <v>6.7898400000000017</v>
      </c>
      <c r="J98" s="143">
        <f>+'Tabel 2025 52 weken incl. 27'!J98</f>
        <v>0.69299999999999995</v>
      </c>
      <c r="K98" s="141"/>
      <c r="L98" s="295">
        <f t="shared" ref="L98:L101" si="6">IF($D$19&gt;=$L$28,($L$28*(100%-J98))+(F$19),$D$19*(100%-J98)+$F$19)</f>
        <v>3.6279700000000008</v>
      </c>
      <c r="M98" s="294"/>
      <c r="N98" s="295">
        <f t="shared" ref="N98:N101" si="7">IF($D$20&gt;=$H$28,($H$28*(100%-J98))+($F$20),$D$20*(100%-J98)+($F$20))</f>
        <v>3.3626400000000016</v>
      </c>
    </row>
    <row r="99" spans="1:14" ht="15">
      <c r="A99" s="256">
        <f>+'Tabel 2025 52 weken incl. 27'!A99</f>
        <v>219066</v>
      </c>
      <c r="B99" s="256">
        <f>+'Tabel 2025 52 weken incl. 27'!B99</f>
        <v>222806</v>
      </c>
      <c r="D99" s="142">
        <f>+'Tabel 2025 52 weken incl. 27'!D99</f>
        <v>0.33300000000000002</v>
      </c>
      <c r="E99" s="140"/>
      <c r="F99" s="293">
        <f t="shared" si="4"/>
        <v>7.4835700000000012</v>
      </c>
      <c r="G99" s="292"/>
      <c r="H99" s="293">
        <f t="shared" si="5"/>
        <v>6.7898400000000017</v>
      </c>
      <c r="J99" s="143">
        <f>+'Tabel 2025 52 weken incl. 27'!J99</f>
        <v>0.68500000000000005</v>
      </c>
      <c r="K99" s="141"/>
      <c r="L99" s="295">
        <f t="shared" si="6"/>
        <v>3.7136499999999995</v>
      </c>
      <c r="M99" s="294"/>
      <c r="N99" s="295">
        <f t="shared" si="7"/>
        <v>3.4388000000000005</v>
      </c>
    </row>
    <row r="100" spans="1:14" ht="15">
      <c r="A100" s="256">
        <f>+'Tabel 2025 52 weken incl. 27'!A100</f>
        <v>222807</v>
      </c>
      <c r="B100" s="256">
        <f>+'Tabel 2025 52 weken incl. 27'!B100</f>
        <v>226545</v>
      </c>
      <c r="D100" s="142">
        <f>+'Tabel 2025 52 weken incl. 27'!D100</f>
        <v>0.33300000000000002</v>
      </c>
      <c r="E100" s="140"/>
      <c r="F100" s="293">
        <f t="shared" si="4"/>
        <v>7.4835700000000012</v>
      </c>
      <c r="G100" s="292"/>
      <c r="H100" s="293">
        <f t="shared" si="5"/>
        <v>6.7898400000000017</v>
      </c>
      <c r="J100" s="143">
        <f>+'Tabel 2025 52 weken incl. 27'!J100</f>
        <v>0.68</v>
      </c>
      <c r="K100" s="141"/>
      <c r="L100" s="295">
        <f t="shared" si="6"/>
        <v>3.7671999999999994</v>
      </c>
      <c r="M100" s="294"/>
      <c r="N100" s="295">
        <f t="shared" si="7"/>
        <v>3.4864000000000006</v>
      </c>
    </row>
    <row r="101" spans="1:14" ht="15">
      <c r="A101" s="256">
        <f>+'Tabel 2025 52 weken incl. 27'!A101</f>
        <v>226546</v>
      </c>
      <c r="B101" s="256" t="str">
        <f>+'Tabel 2025 52 weken incl. 27'!B101</f>
        <v>en hoger</v>
      </c>
      <c r="D101" s="142">
        <f>+'Tabel 2025 52 weken incl. 27'!D101</f>
        <v>0.33300000000000002</v>
      </c>
      <c r="E101" s="140"/>
      <c r="F101" s="293">
        <f t="shared" si="4"/>
        <v>7.4835700000000012</v>
      </c>
      <c r="G101" s="292"/>
      <c r="H101" s="293">
        <f t="shared" si="5"/>
        <v>6.7898400000000017</v>
      </c>
      <c r="J101" s="143">
        <f>+'Tabel 2025 52 weken incl. 27'!J101</f>
        <v>0.67100000000000004</v>
      </c>
      <c r="K101" s="141"/>
      <c r="L101" s="295">
        <f t="shared" si="6"/>
        <v>3.8635899999999999</v>
      </c>
      <c r="M101" s="294"/>
      <c r="N101" s="295">
        <f t="shared" si="7"/>
        <v>3.5720800000000006</v>
      </c>
    </row>
    <row r="103" spans="1:14">
      <c r="F103" s="80">
        <f>SUM(F33:F101)</f>
        <v>279.72888000000017</v>
      </c>
      <c r="H103" s="80">
        <f>SUM(H33:H101)</f>
        <v>258.15456000000006</v>
      </c>
      <c r="J103" s="80"/>
      <c r="L103" s="80">
        <f>SUM(L33:L101)</f>
        <v>122.81667000000006</v>
      </c>
      <c r="N103" s="80">
        <f>SUM(N33:N101)</f>
        <v>118.67704000000012</v>
      </c>
    </row>
    <row r="104" spans="1:14">
      <c r="A104" s="321">
        <f>+SUM(A33:B101)+SUM(D33:D101)+SUM(J33:J101)</f>
        <v>14882092.795</v>
      </c>
      <c r="B104" s="321"/>
    </row>
    <row r="105" spans="1:14">
      <c r="A105" s="107"/>
    </row>
    <row r="106" spans="1:14">
      <c r="A106" s="107"/>
    </row>
    <row r="110" spans="1:14" ht="15.75">
      <c r="A110" s="136"/>
      <c r="B110" s="137"/>
      <c r="C110" s="135"/>
      <c r="D110" s="135"/>
    </row>
    <row r="111" spans="1:14" ht="15.75">
      <c r="A111" s="137"/>
      <c r="B111" s="137"/>
      <c r="C111" s="135"/>
      <c r="D111" s="135"/>
    </row>
    <row r="112" spans="1:14" ht="15.75">
      <c r="A112" s="137"/>
      <c r="B112" s="137"/>
      <c r="C112" s="135"/>
      <c r="D112" s="135"/>
    </row>
    <row r="113" spans="1:10" ht="15.75">
      <c r="A113" s="137"/>
      <c r="B113" s="137"/>
      <c r="C113" s="135"/>
      <c r="D113" s="135"/>
    </row>
    <row r="114" spans="1:10" ht="15.75">
      <c r="A114" s="137"/>
      <c r="B114" s="137"/>
      <c r="C114" s="135"/>
      <c r="D114" s="135"/>
    </row>
    <row r="115" spans="1:10" ht="15.75">
      <c r="A115" s="137"/>
      <c r="B115" s="137"/>
      <c r="C115" s="135"/>
      <c r="D115" s="135"/>
      <c r="F115"/>
      <c r="H115"/>
      <c r="J115"/>
    </row>
    <row r="116" spans="1:10" ht="15.75">
      <c r="A116" s="137"/>
      <c r="B116" s="137"/>
      <c r="C116" s="135"/>
      <c r="D116" s="135"/>
      <c r="F116"/>
      <c r="H116"/>
      <c r="J116"/>
    </row>
    <row r="117" spans="1:10" ht="15.75">
      <c r="A117" s="137"/>
      <c r="B117" s="137"/>
      <c r="C117" s="135"/>
      <c r="D117" s="135"/>
      <c r="F117"/>
      <c r="H117"/>
      <c r="J117"/>
    </row>
    <row r="118" spans="1:10" ht="15.75">
      <c r="A118" s="137"/>
      <c r="B118" s="137"/>
      <c r="C118" s="135"/>
      <c r="D118" s="135"/>
      <c r="F118"/>
      <c r="H118"/>
      <c r="J118"/>
    </row>
    <row r="119" spans="1:10" ht="15.75">
      <c r="A119" s="137"/>
      <c r="B119" s="137"/>
      <c r="C119" s="135"/>
      <c r="D119" s="135"/>
      <c r="F119"/>
      <c r="H119"/>
      <c r="J119"/>
    </row>
    <row r="120" spans="1:10" ht="15.75">
      <c r="A120" s="137"/>
      <c r="B120" s="137"/>
      <c r="C120" s="135"/>
      <c r="D120" s="135"/>
      <c r="F120"/>
      <c r="H120"/>
      <c r="J120"/>
    </row>
    <row r="121" spans="1:10" ht="15.75">
      <c r="A121" s="137"/>
      <c r="B121" s="137"/>
      <c r="C121" s="135"/>
      <c r="D121" s="135"/>
      <c r="F121"/>
      <c r="H121"/>
      <c r="J121"/>
    </row>
    <row r="122" spans="1:10" ht="15.75">
      <c r="A122" s="137"/>
      <c r="B122" s="137"/>
      <c r="C122" s="135"/>
      <c r="D122" s="135"/>
      <c r="F122"/>
      <c r="H122"/>
      <c r="J122"/>
    </row>
    <row r="123" spans="1:10" ht="15.75">
      <c r="A123" s="137"/>
      <c r="B123" s="137"/>
      <c r="C123" s="135"/>
      <c r="D123" s="135"/>
      <c r="F123"/>
      <c r="H123"/>
      <c r="J123"/>
    </row>
    <row r="124" spans="1:10" ht="15.75">
      <c r="A124" s="137"/>
      <c r="B124" s="137"/>
      <c r="C124" s="135"/>
      <c r="D124" s="135"/>
      <c r="F124"/>
      <c r="H124"/>
      <c r="J124"/>
    </row>
    <row r="125" spans="1:10" ht="15.75">
      <c r="A125" s="137"/>
      <c r="B125" s="137"/>
      <c r="C125" s="135"/>
      <c r="D125" s="135"/>
      <c r="F125"/>
      <c r="H125"/>
      <c r="J125"/>
    </row>
    <row r="126" spans="1:10" ht="15.75">
      <c r="A126" s="137"/>
      <c r="B126" s="137"/>
      <c r="C126" s="135"/>
      <c r="D126" s="135"/>
      <c r="F126"/>
      <c r="H126"/>
      <c r="J126"/>
    </row>
    <row r="127" spans="1:10" ht="15.75">
      <c r="A127" s="137"/>
      <c r="B127" s="137"/>
      <c r="C127" s="135"/>
      <c r="D127" s="135"/>
      <c r="F127"/>
      <c r="H127"/>
      <c r="J127"/>
    </row>
    <row r="128" spans="1:10" ht="15.75">
      <c r="A128" s="137"/>
      <c r="B128" s="137"/>
      <c r="C128" s="135"/>
      <c r="D128" s="135"/>
      <c r="F128"/>
      <c r="H128"/>
      <c r="J128"/>
    </row>
    <row r="129" spans="1:10" ht="15.75">
      <c r="A129" s="137"/>
      <c r="B129" s="137"/>
      <c r="C129" s="135"/>
      <c r="D129" s="135"/>
      <c r="F129"/>
      <c r="H129"/>
      <c r="J129"/>
    </row>
    <row r="130" spans="1:10" ht="15.75">
      <c r="A130" s="137"/>
      <c r="B130" s="137"/>
      <c r="C130" s="135"/>
      <c r="D130" s="135"/>
      <c r="F130"/>
      <c r="H130"/>
      <c r="J130"/>
    </row>
    <row r="131" spans="1:10" ht="15.75">
      <c r="A131" s="137"/>
      <c r="B131" s="137"/>
      <c r="C131" s="135"/>
      <c r="D131" s="135"/>
      <c r="F131"/>
      <c r="H131"/>
      <c r="J131"/>
    </row>
    <row r="132" spans="1:10" ht="15.75">
      <c r="A132" s="137"/>
      <c r="B132" s="137"/>
      <c r="C132" s="135"/>
      <c r="D132" s="135"/>
      <c r="F132"/>
      <c r="H132"/>
      <c r="J132"/>
    </row>
    <row r="133" spans="1:10" ht="15.75">
      <c r="A133" s="137"/>
      <c r="B133" s="137"/>
      <c r="C133" s="135"/>
      <c r="D133" s="135"/>
      <c r="F133"/>
      <c r="H133"/>
      <c r="J133"/>
    </row>
    <row r="134" spans="1:10" ht="15.75">
      <c r="A134" s="137"/>
      <c r="B134" s="137"/>
      <c r="C134" s="135"/>
      <c r="D134" s="135"/>
      <c r="F134"/>
      <c r="H134"/>
      <c r="J134"/>
    </row>
    <row r="135" spans="1:10" ht="15.75">
      <c r="A135" s="137"/>
      <c r="B135" s="137"/>
      <c r="C135" s="135"/>
      <c r="D135" s="135"/>
      <c r="F135"/>
      <c r="H135"/>
      <c r="J135"/>
    </row>
    <row r="136" spans="1:10" ht="15.75">
      <c r="A136" s="137"/>
      <c r="B136" s="137"/>
      <c r="C136" s="135"/>
      <c r="D136" s="135"/>
      <c r="F136"/>
      <c r="H136"/>
      <c r="J136"/>
    </row>
    <row r="137" spans="1:10" ht="15.75">
      <c r="A137" s="137"/>
      <c r="B137" s="137"/>
      <c r="C137" s="135"/>
      <c r="D137" s="135"/>
      <c r="F137"/>
      <c r="H137"/>
      <c r="J137"/>
    </row>
    <row r="138" spans="1:10" ht="15.75">
      <c r="A138" s="137"/>
      <c r="B138" s="137"/>
      <c r="C138" s="135"/>
      <c r="D138" s="135"/>
      <c r="F138"/>
      <c r="H138"/>
      <c r="J138"/>
    </row>
    <row r="139" spans="1:10" ht="15.75">
      <c r="A139" s="137"/>
      <c r="B139" s="137"/>
      <c r="C139" s="135"/>
      <c r="D139" s="135"/>
      <c r="F139"/>
      <c r="H139"/>
      <c r="J139"/>
    </row>
    <row r="140" spans="1:10" ht="15.75">
      <c r="A140" s="137"/>
      <c r="B140" s="137"/>
      <c r="C140" s="135"/>
      <c r="D140" s="135"/>
      <c r="F140"/>
      <c r="H140"/>
      <c r="J140"/>
    </row>
    <row r="141" spans="1:10" ht="15.75">
      <c r="A141" s="137"/>
      <c r="B141" s="137"/>
      <c r="C141" s="135"/>
      <c r="D141" s="135"/>
      <c r="F141"/>
      <c r="H141"/>
      <c r="J141"/>
    </row>
    <row r="142" spans="1:10" ht="15.75">
      <c r="A142" s="137"/>
      <c r="B142" s="137"/>
      <c r="C142" s="135"/>
      <c r="D142" s="135"/>
      <c r="F142"/>
      <c r="H142"/>
      <c r="J142"/>
    </row>
    <row r="143" spans="1:10" ht="15.75">
      <c r="A143" s="137"/>
      <c r="B143" s="137"/>
      <c r="C143" s="135"/>
      <c r="D143" s="135"/>
      <c r="F143"/>
      <c r="H143"/>
      <c r="J143"/>
    </row>
    <row r="144" spans="1:10" ht="15.75">
      <c r="A144" s="137"/>
      <c r="B144" s="137"/>
      <c r="C144" s="135"/>
      <c r="D144" s="135"/>
      <c r="F144"/>
      <c r="H144"/>
      <c r="J144"/>
    </row>
    <row r="145" spans="1:10" ht="15.75">
      <c r="A145" s="137"/>
      <c r="B145" s="137"/>
      <c r="C145" s="135"/>
      <c r="D145" s="135"/>
      <c r="F145"/>
      <c r="H145"/>
      <c r="J145"/>
    </row>
    <row r="146" spans="1:10" ht="15.75">
      <c r="A146" s="137"/>
      <c r="B146" s="137"/>
      <c r="C146" s="135"/>
      <c r="D146" s="135"/>
      <c r="F146"/>
      <c r="H146"/>
      <c r="J146"/>
    </row>
    <row r="147" spans="1:10" ht="15.75">
      <c r="A147" s="137"/>
      <c r="B147" s="137"/>
      <c r="C147" s="135"/>
      <c r="D147" s="135"/>
      <c r="F147"/>
      <c r="H147"/>
      <c r="J147"/>
    </row>
    <row r="148" spans="1:10" ht="15.75">
      <c r="A148" s="137"/>
      <c r="B148" s="137"/>
      <c r="C148" s="135"/>
      <c r="D148" s="135"/>
      <c r="F148"/>
      <c r="H148"/>
      <c r="J148"/>
    </row>
    <row r="149" spans="1:10" ht="15.75">
      <c r="A149" s="137"/>
      <c r="B149" s="137"/>
      <c r="C149" s="135"/>
      <c r="D149" s="135"/>
      <c r="F149"/>
      <c r="H149"/>
      <c r="J149"/>
    </row>
    <row r="150" spans="1:10" ht="15.75">
      <c r="A150" s="138"/>
      <c r="B150" s="139"/>
      <c r="C150" s="135"/>
      <c r="D150" s="135"/>
      <c r="F150"/>
      <c r="H150"/>
      <c r="J150"/>
    </row>
    <row r="151" spans="1:10" ht="15.75">
      <c r="A151" s="139"/>
      <c r="B151" s="139"/>
      <c r="C151" s="135"/>
      <c r="D151" s="135"/>
      <c r="F151"/>
      <c r="H151"/>
      <c r="J151"/>
    </row>
    <row r="152" spans="1:10" ht="15.75">
      <c r="A152" s="139"/>
      <c r="B152" s="139"/>
      <c r="C152" s="135"/>
      <c r="D152" s="135"/>
      <c r="F152"/>
      <c r="H152"/>
      <c r="J152"/>
    </row>
    <row r="153" spans="1:10" ht="15.75">
      <c r="A153" s="139"/>
      <c r="B153" s="139"/>
      <c r="C153" s="135"/>
      <c r="D153" s="135"/>
      <c r="F153"/>
      <c r="H153"/>
      <c r="J153"/>
    </row>
    <row r="154" spans="1:10" ht="15.75">
      <c r="A154" s="139"/>
      <c r="B154" s="139"/>
      <c r="C154" s="135"/>
      <c r="D154" s="135"/>
      <c r="F154"/>
      <c r="H154"/>
      <c r="J154"/>
    </row>
    <row r="155" spans="1:10" ht="15.75">
      <c r="A155" s="139"/>
      <c r="B155" s="139"/>
      <c r="C155" s="135"/>
      <c r="D155" s="135"/>
      <c r="F155"/>
      <c r="H155"/>
      <c r="J155"/>
    </row>
    <row r="156" spans="1:10" ht="15.75">
      <c r="A156" s="139"/>
      <c r="B156" s="139"/>
      <c r="C156" s="135"/>
      <c r="D156" s="135"/>
      <c r="F156"/>
      <c r="H156"/>
      <c r="J156"/>
    </row>
    <row r="157" spans="1:10" ht="15.75">
      <c r="A157" s="139"/>
      <c r="B157" s="139"/>
      <c r="C157" s="135"/>
      <c r="D157" s="135"/>
      <c r="F157"/>
      <c r="H157"/>
      <c r="J157"/>
    </row>
    <row r="158" spans="1:10" ht="15.75">
      <c r="A158" s="139"/>
      <c r="B158" s="139"/>
      <c r="C158" s="135"/>
      <c r="D158" s="135"/>
      <c r="F158"/>
      <c r="H158"/>
      <c r="J158"/>
    </row>
    <row r="159" spans="1:10" ht="15.75">
      <c r="A159" s="139"/>
      <c r="B159" s="139"/>
      <c r="C159" s="135"/>
      <c r="D159" s="135"/>
      <c r="F159"/>
      <c r="H159"/>
      <c r="J159"/>
    </row>
    <row r="160" spans="1:10" ht="15.75">
      <c r="A160" s="139"/>
      <c r="B160" s="139"/>
      <c r="C160" s="135"/>
      <c r="D160" s="135"/>
      <c r="F160"/>
      <c r="H160"/>
      <c r="J160"/>
    </row>
    <row r="161" spans="1:10" ht="15.75">
      <c r="A161" s="139"/>
      <c r="B161" s="139"/>
      <c r="C161" s="135"/>
      <c r="D161" s="135"/>
      <c r="F161"/>
      <c r="H161"/>
      <c r="J161"/>
    </row>
    <row r="162" spans="1:10" ht="15.75">
      <c r="A162" s="139"/>
      <c r="B162" s="139"/>
      <c r="C162" s="135"/>
      <c r="D162" s="135"/>
      <c r="F162"/>
      <c r="H162"/>
      <c r="J162"/>
    </row>
    <row r="163" spans="1:10" ht="15.75">
      <c r="A163" s="139"/>
      <c r="B163" s="139"/>
      <c r="C163" s="135"/>
      <c r="D163" s="135"/>
      <c r="F163"/>
      <c r="H163"/>
      <c r="J163"/>
    </row>
    <row r="164" spans="1:10" ht="15.75">
      <c r="A164" s="139"/>
      <c r="B164" s="139"/>
      <c r="C164" s="135"/>
      <c r="D164" s="135"/>
      <c r="F164"/>
      <c r="H164"/>
      <c r="J164"/>
    </row>
    <row r="165" spans="1:10" ht="15.75">
      <c r="A165" s="139"/>
      <c r="B165" s="139"/>
      <c r="C165" s="135"/>
      <c r="D165" s="135"/>
      <c r="F165"/>
      <c r="H165"/>
      <c r="J165"/>
    </row>
    <row r="166" spans="1:10" ht="15.75">
      <c r="A166" s="139"/>
      <c r="B166" s="139"/>
      <c r="C166" s="135"/>
      <c r="D166" s="135"/>
      <c r="F166"/>
      <c r="H166"/>
      <c r="J166"/>
    </row>
    <row r="167" spans="1:10" ht="15.75">
      <c r="A167" s="139"/>
      <c r="B167" s="138"/>
      <c r="C167" s="135"/>
      <c r="D167" s="135"/>
      <c r="F167"/>
      <c r="H167"/>
      <c r="J167"/>
    </row>
    <row r="168" spans="1:10" ht="15.75">
      <c r="A168" s="139"/>
      <c r="B168" s="139"/>
      <c r="C168" s="135"/>
      <c r="D168" s="135"/>
      <c r="F168"/>
      <c r="H168"/>
      <c r="J168"/>
    </row>
    <row r="169" spans="1:10" ht="15.75">
      <c r="A169" s="139"/>
      <c r="B169" s="139"/>
      <c r="C169" s="135"/>
      <c r="D169" s="135"/>
      <c r="F169"/>
      <c r="H169"/>
      <c r="J169"/>
    </row>
    <row r="170" spans="1:10" ht="15.75">
      <c r="A170" s="139"/>
      <c r="B170" s="139"/>
      <c r="C170" s="135"/>
      <c r="D170" s="135"/>
      <c r="F170"/>
      <c r="H170"/>
      <c r="J170"/>
    </row>
    <row r="171" spans="1:10" ht="15.75">
      <c r="A171" s="139"/>
      <c r="B171" s="139"/>
      <c r="C171" s="135"/>
      <c r="D171" s="135"/>
      <c r="F171"/>
      <c r="H171"/>
      <c r="J171"/>
    </row>
    <row r="172" spans="1:10" ht="15.75">
      <c r="A172" s="139"/>
      <c r="B172" s="139"/>
      <c r="C172" s="135"/>
      <c r="D172" s="135"/>
      <c r="F172"/>
      <c r="H172"/>
      <c r="J172"/>
    </row>
    <row r="173" spans="1:10" ht="15.75">
      <c r="A173" s="139"/>
      <c r="B173" s="139"/>
      <c r="C173" s="135"/>
      <c r="D173" s="135"/>
      <c r="F173"/>
      <c r="H173"/>
      <c r="J173"/>
    </row>
    <row r="174" spans="1:10" ht="15.75">
      <c r="A174" s="139"/>
      <c r="B174" s="139"/>
      <c r="C174" s="135"/>
      <c r="D174" s="135"/>
      <c r="F174"/>
      <c r="H174"/>
      <c r="J174"/>
    </row>
    <row r="175" spans="1:10" ht="15.75">
      <c r="A175" s="139"/>
      <c r="B175" s="139"/>
      <c r="C175" s="135"/>
      <c r="D175" s="135"/>
      <c r="F175"/>
      <c r="H175"/>
      <c r="J175"/>
    </row>
    <row r="176" spans="1:10" ht="15.75">
      <c r="A176" s="139"/>
      <c r="B176" s="139"/>
      <c r="C176" s="135"/>
      <c r="D176" s="135"/>
      <c r="F176"/>
      <c r="H176"/>
      <c r="J176"/>
    </row>
    <row r="177" spans="1:10" ht="15.75">
      <c r="A177" s="139"/>
      <c r="B177" s="139"/>
      <c r="C177" s="135"/>
      <c r="D177" s="135"/>
      <c r="F177"/>
      <c r="H177"/>
      <c r="J177"/>
    </row>
    <row r="178" spans="1:10" ht="15.75">
      <c r="A178" s="139"/>
      <c r="B178" s="136"/>
      <c r="C178" s="135"/>
      <c r="D178" s="135"/>
      <c r="F178"/>
      <c r="H178"/>
      <c r="J178"/>
    </row>
  </sheetData>
  <mergeCells count="4">
    <mergeCell ref="A24:B24"/>
    <mergeCell ref="D24:H24"/>
    <mergeCell ref="J24:N24"/>
    <mergeCell ref="A104:B10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178"/>
  <sheetViews>
    <sheetView topLeftCell="A4" workbookViewId="0">
      <pane ySplit="13" topLeftCell="A85" activePane="bottomLeft" state="frozen"/>
      <selection pane="bottomLeft" activeCell="B15" sqref="A1:XFD1048576"/>
      <selection activeCell="A4" sqref="A4"/>
    </sheetView>
  </sheetViews>
  <sheetFormatPr defaultRowHeight="12.75"/>
  <cols>
    <col min="1" max="2" width="12" style="78" customWidth="1"/>
    <col min="3" max="3" width="2.7109375" customWidth="1"/>
    <col min="4" max="4" width="12" style="79" customWidth="1"/>
    <col min="5" max="5" width="2.7109375" customWidth="1"/>
    <col min="6" max="6" width="12" style="80" customWidth="1"/>
    <col min="7" max="7" width="2.7109375" customWidth="1"/>
    <col min="8" max="8" width="12" style="80" customWidth="1"/>
    <col min="9" max="9" width="2.7109375" customWidth="1"/>
    <col min="10" max="10" width="12" style="79" customWidth="1"/>
    <col min="11" max="11" width="2.7109375" customWidth="1"/>
    <col min="12" max="12" width="12" customWidth="1"/>
    <col min="13" max="13" width="2.7109375" customWidth="1"/>
    <col min="14" max="14" width="12" customWidth="1"/>
  </cols>
  <sheetData>
    <row r="1" spans="1:2" customFormat="1" ht="19.5">
      <c r="A1" s="75" t="s">
        <v>38</v>
      </c>
    </row>
    <row r="2" spans="1:2" customFormat="1">
      <c r="A2" t="s">
        <v>39</v>
      </c>
    </row>
    <row r="3" spans="1:2" customFormat="1"/>
    <row r="4" spans="1:2" customFormat="1"/>
    <row r="5" spans="1:2" customFormat="1" ht="14.25">
      <c r="A5" s="76" t="s">
        <v>40</v>
      </c>
    </row>
    <row r="6" spans="1:2" customFormat="1"/>
    <row r="7" spans="1:2" customFormat="1" ht="15">
      <c r="A7" s="77" t="s">
        <v>41</v>
      </c>
      <c r="B7" t="s">
        <v>42</v>
      </c>
    </row>
    <row r="8" spans="1:2" customFormat="1" ht="15">
      <c r="A8" s="77" t="s">
        <v>43</v>
      </c>
      <c r="B8" t="s">
        <v>44</v>
      </c>
    </row>
    <row r="9" spans="1:2" customFormat="1" ht="15">
      <c r="A9" s="77"/>
      <c r="B9" t="s">
        <v>45</v>
      </c>
    </row>
    <row r="10" spans="1:2" customFormat="1" ht="15">
      <c r="A10" s="77"/>
      <c r="B10" t="s">
        <v>46</v>
      </c>
    </row>
    <row r="11" spans="1:2" customFormat="1" ht="15">
      <c r="A11" s="77"/>
      <c r="B11" t="s">
        <v>47</v>
      </c>
    </row>
    <row r="12" spans="1:2" customFormat="1" ht="15">
      <c r="A12" s="77" t="s">
        <v>48</v>
      </c>
      <c r="B12" t="s">
        <v>49</v>
      </c>
    </row>
    <row r="13" spans="1:2" customFormat="1">
      <c r="B13" t="s">
        <v>45</v>
      </c>
    </row>
    <row r="14" spans="1:2" customFormat="1">
      <c r="B14" t="s">
        <v>46</v>
      </c>
    </row>
    <row r="15" spans="1:2" customFormat="1">
      <c r="B15" t="s">
        <v>47</v>
      </c>
    </row>
    <row r="16" spans="1:2" customFormat="1"/>
    <row r="17" spans="1:14">
      <c r="A17"/>
      <c r="B17"/>
      <c r="D17"/>
      <c r="F17"/>
      <c r="H17"/>
      <c r="J17"/>
    </row>
    <row r="18" spans="1:14">
      <c r="F18" s="80" t="s">
        <v>50</v>
      </c>
      <c r="J18" s="81"/>
    </row>
    <row r="19" spans="1:14">
      <c r="A19" s="80" t="s">
        <v>51</v>
      </c>
      <c r="D19" s="80">
        <f>+'Tabel 2025 52 weken'!$D$19</f>
        <v>10.71</v>
      </c>
      <c r="F19" s="236">
        <f>IF(F28-D19&gt;0,F28-D19,0)</f>
        <v>1.0199999999999996</v>
      </c>
      <c r="L19" s="82"/>
      <c r="N19" s="80"/>
    </row>
    <row r="20" spans="1:14">
      <c r="A20" s="80" t="s">
        <v>52</v>
      </c>
      <c r="D20" s="80">
        <f>+'Tabel 2025 52 weken'!$D$20</f>
        <v>9.52</v>
      </c>
      <c r="F20" s="236">
        <f>IF(H28-D20&gt;0,H28-D20,0)</f>
        <v>1.08</v>
      </c>
      <c r="N20" s="80"/>
    </row>
    <row r="21" spans="1:14">
      <c r="A21" s="80"/>
      <c r="D21" s="80"/>
      <c r="N21" s="80"/>
    </row>
    <row r="22" spans="1:14">
      <c r="A22" s="80"/>
      <c r="D22" s="80"/>
      <c r="N22" s="80"/>
    </row>
    <row r="23" spans="1:14">
      <c r="A23" s="80"/>
      <c r="D23" s="80"/>
      <c r="G23" s="80"/>
      <c r="N23" s="80"/>
    </row>
    <row r="24" spans="1:14" ht="15">
      <c r="A24" s="322" t="s">
        <v>54</v>
      </c>
      <c r="B24" s="322"/>
      <c r="D24" s="319" t="s">
        <v>55</v>
      </c>
      <c r="E24" s="319"/>
      <c r="F24" s="319"/>
      <c r="G24" s="319"/>
      <c r="H24" s="319"/>
      <c r="I24" s="83"/>
      <c r="J24" s="320" t="s">
        <v>56</v>
      </c>
      <c r="K24" s="320"/>
      <c r="L24" s="320"/>
      <c r="M24" s="320"/>
      <c r="N24" s="320"/>
    </row>
    <row r="25" spans="1:14">
      <c r="A25" s="84" t="s">
        <v>57</v>
      </c>
      <c r="B25" s="84"/>
      <c r="D25" s="237" t="s">
        <v>58</v>
      </c>
      <c r="E25" s="85"/>
      <c r="F25" s="86"/>
      <c r="G25" s="85"/>
      <c r="H25" s="86"/>
      <c r="J25" s="238" t="s">
        <v>58</v>
      </c>
      <c r="K25" s="87"/>
      <c r="L25" s="87"/>
      <c r="M25" s="87"/>
      <c r="N25" s="87"/>
    </row>
    <row r="26" spans="1:14">
      <c r="A26" s="84" t="s">
        <v>59</v>
      </c>
      <c r="B26" s="84"/>
      <c r="D26" s="237" t="s">
        <v>60</v>
      </c>
      <c r="E26" s="85"/>
      <c r="F26" s="88" t="s">
        <v>61</v>
      </c>
      <c r="G26" s="89"/>
      <c r="H26" s="88" t="s">
        <v>62</v>
      </c>
      <c r="J26" s="238" t="s">
        <v>60</v>
      </c>
      <c r="K26" s="87"/>
      <c r="L26" s="90" t="s">
        <v>63</v>
      </c>
      <c r="M26" s="87"/>
      <c r="N26" s="90" t="s">
        <v>64</v>
      </c>
    </row>
    <row r="27" spans="1:14">
      <c r="A27" s="84"/>
      <c r="B27" s="84"/>
      <c r="D27" s="91"/>
      <c r="E27" s="85"/>
      <c r="F27" s="92" t="s">
        <v>66</v>
      </c>
      <c r="G27" s="93"/>
      <c r="H27" s="92" t="s">
        <v>67</v>
      </c>
      <c r="J27" s="94"/>
      <c r="K27" s="87"/>
      <c r="L27" s="95" t="s">
        <v>66</v>
      </c>
      <c r="M27" s="96"/>
      <c r="N27" s="95" t="s">
        <v>67</v>
      </c>
    </row>
    <row r="28" spans="1:14">
      <c r="A28" s="84"/>
      <c r="B28" s="84"/>
      <c r="D28" s="91"/>
      <c r="E28" s="85"/>
      <c r="F28" s="235">
        <v>11.73</v>
      </c>
      <c r="G28" s="92"/>
      <c r="H28" s="235">
        <v>10.6</v>
      </c>
      <c r="J28" s="94"/>
      <c r="K28" s="87"/>
      <c r="L28" s="97">
        <f>F28</f>
        <v>11.73</v>
      </c>
      <c r="M28" s="87"/>
      <c r="N28" s="97">
        <f>H28</f>
        <v>10.6</v>
      </c>
    </row>
    <row r="29" spans="1:14" ht="13.5" thickBot="1">
      <c r="A29" s="84"/>
      <c r="B29" s="84"/>
      <c r="D29" s="91"/>
      <c r="E29" s="85"/>
      <c r="F29" s="86"/>
      <c r="G29" s="85"/>
      <c r="H29" s="86"/>
      <c r="J29" s="94"/>
      <c r="K29" s="87"/>
      <c r="L29" s="87"/>
      <c r="M29" s="87"/>
      <c r="N29" s="87"/>
    </row>
    <row r="30" spans="1:14">
      <c r="A30" s="98" t="s">
        <v>3</v>
      </c>
      <c r="B30" s="98" t="s">
        <v>4</v>
      </c>
      <c r="D30" s="239" t="s">
        <v>69</v>
      </c>
      <c r="E30" s="85"/>
      <c r="F30" s="99" t="s">
        <v>70</v>
      </c>
      <c r="G30" s="85"/>
      <c r="H30" s="99" t="s">
        <v>70</v>
      </c>
      <c r="J30" s="240" t="s">
        <v>71</v>
      </c>
      <c r="K30" s="87"/>
      <c r="L30" s="100" t="s">
        <v>70</v>
      </c>
      <c r="M30" s="87"/>
      <c r="N30" s="100" t="s">
        <v>70</v>
      </c>
    </row>
    <row r="31" spans="1:14" ht="13.5" thickBot="1">
      <c r="A31" s="101"/>
      <c r="B31" s="101"/>
      <c r="D31" s="241" t="s">
        <v>72</v>
      </c>
      <c r="E31" s="85"/>
      <c r="F31" s="102" t="s">
        <v>73</v>
      </c>
      <c r="G31" s="85"/>
      <c r="H31" s="102" t="s">
        <v>73</v>
      </c>
      <c r="J31" s="242" t="s">
        <v>74</v>
      </c>
      <c r="K31" s="87"/>
      <c r="L31" s="103" t="s">
        <v>73</v>
      </c>
      <c r="M31" s="87"/>
      <c r="N31" s="103" t="s">
        <v>73</v>
      </c>
    </row>
    <row r="32" spans="1:14">
      <c r="A32" s="84"/>
      <c r="B32" s="84"/>
      <c r="D32" s="91"/>
      <c r="E32" s="85"/>
      <c r="F32" s="86"/>
      <c r="G32" s="85"/>
      <c r="H32" s="86"/>
      <c r="J32" s="94"/>
      <c r="K32" s="87"/>
      <c r="L32" s="87"/>
      <c r="M32" s="87"/>
      <c r="N32" s="87"/>
    </row>
    <row r="33" spans="1:24" ht="15">
      <c r="A33" s="256" t="str">
        <f>+'Tabel 2025 52 weken incl. 27'!A33</f>
        <v>lager dan</v>
      </c>
      <c r="B33" s="256">
        <f>+'Tabel 2025 52 weken incl. 27'!B33</f>
        <v>23211</v>
      </c>
      <c r="D33" s="142">
        <f>+'Tabel 2025 52 weken incl. 27'!D33</f>
        <v>0.96</v>
      </c>
      <c r="E33" s="140"/>
      <c r="F33" s="293">
        <f>IF($D$19&gt;=$F$28,($F$28*(100%-D33))+($F$19),$D$19*(100%-D33)+$F$19)</f>
        <v>1.4483999999999999</v>
      </c>
      <c r="G33" s="292"/>
      <c r="H33" s="293">
        <f>IF($D$20&gt;=$H$28,($H$28*(100%-D33))+($F$20),$D$20*(100%-D33)+($F$20))</f>
        <v>1.4608000000000003</v>
      </c>
      <c r="J33" s="143">
        <f>+'Tabel 2025 52 weken incl. 27'!J33</f>
        <v>0.96</v>
      </c>
      <c r="K33" s="141"/>
      <c r="L33" s="295">
        <f>IF($D$19&gt;=$L$28,($L$28*(100%-J33))+(F$19),$D$19*(100%-J33)+$F$19)</f>
        <v>1.4483999999999999</v>
      </c>
      <c r="M33" s="294"/>
      <c r="N33" s="295">
        <f>IF($D$20&gt;=$H$28,($H$28*(100%-J33))+($F$20),$D$20*(100%-J33)+($F$20))</f>
        <v>1.4608000000000003</v>
      </c>
      <c r="P33" s="243"/>
    </row>
    <row r="34" spans="1:24" ht="15">
      <c r="A34" s="256">
        <f>+'Tabel 2025 52 weken incl. 27'!A34</f>
        <v>23212</v>
      </c>
      <c r="B34" s="256">
        <f>+'Tabel 2025 52 weken incl. 27'!B34</f>
        <v>24756</v>
      </c>
      <c r="D34" s="142">
        <f>+'Tabel 2025 52 weken incl. 27'!D34</f>
        <v>0.96</v>
      </c>
      <c r="E34" s="140"/>
      <c r="F34" s="293">
        <f t="shared" ref="F34:F97" si="0">IF($D$19&gt;=$F$28,($F$28*(100%-D34))+($F$19),$D$19*(100%-D34)+$F$19)</f>
        <v>1.4483999999999999</v>
      </c>
      <c r="G34" s="292"/>
      <c r="H34" s="293">
        <f t="shared" ref="H34:H97" si="1">IF($D$20&gt;=$H$28,($H$28*(100%-D34))+($F$20),$D$20*(100%-D34)+($F$20))</f>
        <v>1.4608000000000003</v>
      </c>
      <c r="J34" s="143">
        <f>+'Tabel 2025 52 weken incl. 27'!J34</f>
        <v>0.96</v>
      </c>
      <c r="K34" s="141"/>
      <c r="L34" s="295">
        <f t="shared" ref="L34:L97" si="2">IF($D$19&gt;=$L$28,($L$28*(100%-J34))+(F$19),$D$19*(100%-J34)+$F$19)</f>
        <v>1.4483999999999999</v>
      </c>
      <c r="M34" s="294"/>
      <c r="N34" s="295">
        <f t="shared" ref="N34:N97" si="3">IF($D$20&gt;=$H$28,($H$28*(100%-J34))+($F$20),$D$20*(100%-J34)+($F$20))</f>
        <v>1.4608000000000003</v>
      </c>
    </row>
    <row r="35" spans="1:24" ht="15">
      <c r="A35" s="256">
        <f>+'Tabel 2025 52 weken incl. 27'!A35</f>
        <v>24757</v>
      </c>
      <c r="B35" s="256">
        <f>+'Tabel 2025 52 weken incl. 27'!B35</f>
        <v>26300</v>
      </c>
      <c r="D35" s="142">
        <f>+'Tabel 2025 52 weken incl. 27'!D35</f>
        <v>0.96</v>
      </c>
      <c r="E35" s="140"/>
      <c r="F35" s="293">
        <f t="shared" si="0"/>
        <v>1.4483999999999999</v>
      </c>
      <c r="G35" s="292"/>
      <c r="H35" s="293">
        <f t="shared" si="1"/>
        <v>1.4608000000000003</v>
      </c>
      <c r="J35" s="143">
        <f>+'Tabel 2025 52 weken incl. 27'!J35</f>
        <v>0.96</v>
      </c>
      <c r="K35" s="141"/>
      <c r="L35" s="295">
        <f t="shared" si="2"/>
        <v>1.4483999999999999</v>
      </c>
      <c r="M35" s="294"/>
      <c r="N35" s="295">
        <f t="shared" si="3"/>
        <v>1.4608000000000003</v>
      </c>
      <c r="R35" s="104"/>
    </row>
    <row r="36" spans="1:24" ht="15">
      <c r="A36" s="256">
        <f>+'Tabel 2025 52 weken incl. 27'!A36</f>
        <v>26301</v>
      </c>
      <c r="B36" s="256">
        <f>+'Tabel 2025 52 weken incl. 27'!B36</f>
        <v>27848</v>
      </c>
      <c r="D36" s="142">
        <f>+'Tabel 2025 52 weken incl. 27'!D36</f>
        <v>0.96</v>
      </c>
      <c r="E36" s="140"/>
      <c r="F36" s="293">
        <f t="shared" si="0"/>
        <v>1.4483999999999999</v>
      </c>
      <c r="G36" s="292"/>
      <c r="H36" s="293">
        <f t="shared" si="1"/>
        <v>1.4608000000000003</v>
      </c>
      <c r="J36" s="143">
        <f>+'Tabel 2025 52 weken incl. 27'!J36</f>
        <v>0.96</v>
      </c>
      <c r="K36" s="141"/>
      <c r="L36" s="295">
        <f t="shared" si="2"/>
        <v>1.4483999999999999</v>
      </c>
      <c r="M36" s="294"/>
      <c r="N36" s="295">
        <f t="shared" si="3"/>
        <v>1.4608000000000003</v>
      </c>
    </row>
    <row r="37" spans="1:24" ht="15">
      <c r="A37" s="256">
        <f>+'Tabel 2025 52 weken incl. 27'!A37</f>
        <v>27849</v>
      </c>
      <c r="B37" s="256">
        <f>+'Tabel 2025 52 weken incl. 27'!B37</f>
        <v>29392</v>
      </c>
      <c r="D37" s="142">
        <f>+'Tabel 2025 52 weken incl. 27'!D37</f>
        <v>0.96</v>
      </c>
      <c r="E37" s="140"/>
      <c r="F37" s="293">
        <f t="shared" si="0"/>
        <v>1.4483999999999999</v>
      </c>
      <c r="G37" s="292"/>
      <c r="H37" s="293">
        <f t="shared" si="1"/>
        <v>1.4608000000000003</v>
      </c>
      <c r="J37" s="143">
        <f>+'Tabel 2025 52 weken incl. 27'!J37</f>
        <v>0.96</v>
      </c>
      <c r="K37" s="141"/>
      <c r="L37" s="295">
        <f t="shared" si="2"/>
        <v>1.4483999999999999</v>
      </c>
      <c r="M37" s="294"/>
      <c r="N37" s="295">
        <f t="shared" si="3"/>
        <v>1.4608000000000003</v>
      </c>
    </row>
    <row r="38" spans="1:24" ht="15">
      <c r="A38" s="256">
        <f>+'Tabel 2025 52 weken incl. 27'!A38</f>
        <v>29393</v>
      </c>
      <c r="B38" s="256">
        <f>+'Tabel 2025 52 weken incl. 27'!B38</f>
        <v>30939</v>
      </c>
      <c r="D38" s="142">
        <f>+'Tabel 2025 52 weken incl. 27'!D38</f>
        <v>0.96</v>
      </c>
      <c r="E38" s="140"/>
      <c r="F38" s="293">
        <f t="shared" si="0"/>
        <v>1.4483999999999999</v>
      </c>
      <c r="G38" s="292"/>
      <c r="H38" s="293">
        <f t="shared" si="1"/>
        <v>1.4608000000000003</v>
      </c>
      <c r="J38" s="143">
        <f>+'Tabel 2025 52 weken incl. 27'!J38</f>
        <v>0.96</v>
      </c>
      <c r="K38" s="141"/>
      <c r="L38" s="295">
        <f t="shared" si="2"/>
        <v>1.4483999999999999</v>
      </c>
      <c r="M38" s="294"/>
      <c r="N38" s="295">
        <f t="shared" si="3"/>
        <v>1.4608000000000003</v>
      </c>
    </row>
    <row r="39" spans="1:24" ht="15">
      <c r="A39" s="256">
        <f>+'Tabel 2025 52 weken incl. 27'!A39</f>
        <v>30940</v>
      </c>
      <c r="B39" s="256">
        <f>+'Tabel 2025 52 weken incl. 27'!B39</f>
        <v>32483</v>
      </c>
      <c r="D39" s="142">
        <f>+'Tabel 2025 52 weken incl. 27'!D39</f>
        <v>0.96</v>
      </c>
      <c r="E39" s="140"/>
      <c r="F39" s="293">
        <f t="shared" si="0"/>
        <v>1.4483999999999999</v>
      </c>
      <c r="G39" s="292"/>
      <c r="H39" s="293">
        <f t="shared" si="1"/>
        <v>1.4608000000000003</v>
      </c>
      <c r="J39" s="143">
        <f>+'Tabel 2025 52 weken incl. 27'!J39</f>
        <v>0.96</v>
      </c>
      <c r="K39" s="141"/>
      <c r="L39" s="295">
        <f t="shared" si="2"/>
        <v>1.4483999999999999</v>
      </c>
      <c r="M39" s="294"/>
      <c r="N39" s="295">
        <f t="shared" si="3"/>
        <v>1.4608000000000003</v>
      </c>
    </row>
    <row r="40" spans="1:24" ht="15">
      <c r="A40" s="256">
        <f>+'Tabel 2025 52 weken incl. 27'!A40</f>
        <v>32484</v>
      </c>
      <c r="B40" s="256">
        <f>+'Tabel 2025 52 weken incl. 27'!B40</f>
        <v>34025</v>
      </c>
      <c r="D40" s="142">
        <f>+'Tabel 2025 52 weken incl. 27'!D40</f>
        <v>0.96</v>
      </c>
      <c r="E40" s="140"/>
      <c r="F40" s="293">
        <f t="shared" si="0"/>
        <v>1.4483999999999999</v>
      </c>
      <c r="G40" s="292"/>
      <c r="H40" s="293">
        <f t="shared" si="1"/>
        <v>1.4608000000000003</v>
      </c>
      <c r="J40" s="143">
        <f>+'Tabel 2025 52 weken incl. 27'!J40</f>
        <v>0.96</v>
      </c>
      <c r="K40" s="141"/>
      <c r="L40" s="295">
        <f t="shared" si="2"/>
        <v>1.4483999999999999</v>
      </c>
      <c r="M40" s="294"/>
      <c r="N40" s="295">
        <f t="shared" si="3"/>
        <v>1.4608000000000003</v>
      </c>
    </row>
    <row r="41" spans="1:24" ht="15">
      <c r="A41" s="256">
        <f>+'Tabel 2025 52 weken incl. 27'!A41</f>
        <v>34026</v>
      </c>
      <c r="B41" s="256">
        <f>+'Tabel 2025 52 weken incl. 27'!B41</f>
        <v>35687</v>
      </c>
      <c r="D41" s="142">
        <f>+'Tabel 2025 52 weken incl. 27'!D41</f>
        <v>0.96</v>
      </c>
      <c r="E41" s="140"/>
      <c r="F41" s="293">
        <f t="shared" si="0"/>
        <v>1.4483999999999999</v>
      </c>
      <c r="G41" s="292"/>
      <c r="H41" s="293">
        <f t="shared" si="1"/>
        <v>1.4608000000000003</v>
      </c>
      <c r="J41" s="143">
        <f>+'Tabel 2025 52 weken incl. 27'!J41</f>
        <v>0.96</v>
      </c>
      <c r="K41" s="141"/>
      <c r="L41" s="295">
        <f t="shared" si="2"/>
        <v>1.4483999999999999</v>
      </c>
      <c r="M41" s="294"/>
      <c r="N41" s="295">
        <f t="shared" si="3"/>
        <v>1.4608000000000003</v>
      </c>
    </row>
    <row r="42" spans="1:24" ht="15">
      <c r="A42" s="256">
        <f>+'Tabel 2025 52 weken incl. 27'!A42</f>
        <v>35688</v>
      </c>
      <c r="B42" s="256">
        <f>+'Tabel 2025 52 weken incl. 27'!B42</f>
        <v>37346</v>
      </c>
      <c r="D42" s="142">
        <f>+'Tabel 2025 52 weken incl. 27'!D42</f>
        <v>0.96</v>
      </c>
      <c r="E42" s="140"/>
      <c r="F42" s="293">
        <f t="shared" si="0"/>
        <v>1.4483999999999999</v>
      </c>
      <c r="G42" s="292"/>
      <c r="H42" s="293">
        <f t="shared" si="1"/>
        <v>1.4608000000000003</v>
      </c>
      <c r="J42" s="143">
        <f>+'Tabel 2025 52 weken incl. 27'!J42</f>
        <v>0.96</v>
      </c>
      <c r="K42" s="141"/>
      <c r="L42" s="295">
        <f t="shared" si="2"/>
        <v>1.4483999999999999</v>
      </c>
      <c r="M42" s="294"/>
      <c r="N42" s="295">
        <f t="shared" si="3"/>
        <v>1.4608000000000003</v>
      </c>
    </row>
    <row r="43" spans="1:24" ht="15">
      <c r="A43" s="256">
        <f>+'Tabel 2025 52 weken incl. 27'!A43</f>
        <v>37347</v>
      </c>
      <c r="B43" s="256">
        <f>+'Tabel 2025 52 weken incl. 27'!B43</f>
        <v>39010</v>
      </c>
      <c r="D43" s="142">
        <f>+'Tabel 2025 52 weken incl. 27'!D43</f>
        <v>0.96</v>
      </c>
      <c r="E43" s="140"/>
      <c r="F43" s="293">
        <f t="shared" si="0"/>
        <v>1.4483999999999999</v>
      </c>
      <c r="G43" s="292"/>
      <c r="H43" s="293">
        <f t="shared" si="1"/>
        <v>1.4608000000000003</v>
      </c>
      <c r="J43" s="143">
        <f>+'Tabel 2025 52 weken incl. 27'!J43</f>
        <v>0.96</v>
      </c>
      <c r="K43" s="141"/>
      <c r="L43" s="295">
        <f t="shared" si="2"/>
        <v>1.4483999999999999</v>
      </c>
      <c r="M43" s="294"/>
      <c r="N43" s="295">
        <f t="shared" si="3"/>
        <v>1.4608000000000003</v>
      </c>
    </row>
    <row r="44" spans="1:24" ht="15">
      <c r="A44" s="256">
        <f>+'Tabel 2025 52 weken incl. 27'!A44</f>
        <v>39011</v>
      </c>
      <c r="B44" s="256">
        <f>+'Tabel 2025 52 weken incl. 27'!B44</f>
        <v>40670</v>
      </c>
      <c r="D44" s="142">
        <f>+'Tabel 2025 52 weken incl. 27'!D44</f>
        <v>0.96</v>
      </c>
      <c r="E44" s="140"/>
      <c r="F44" s="293">
        <f t="shared" si="0"/>
        <v>1.4483999999999999</v>
      </c>
      <c r="G44" s="292"/>
      <c r="H44" s="293">
        <f t="shared" si="1"/>
        <v>1.4608000000000003</v>
      </c>
      <c r="J44" s="143">
        <f>+'Tabel 2025 52 weken incl. 27'!J44</f>
        <v>0.96</v>
      </c>
      <c r="K44" s="141"/>
      <c r="L44" s="295">
        <f t="shared" si="2"/>
        <v>1.4483999999999999</v>
      </c>
      <c r="M44" s="294"/>
      <c r="N44" s="295">
        <f t="shared" si="3"/>
        <v>1.4608000000000003</v>
      </c>
    </row>
    <row r="45" spans="1:24" ht="15">
      <c r="A45" s="256">
        <f>+'Tabel 2025 52 weken incl. 27'!A45</f>
        <v>40671</v>
      </c>
      <c r="B45" s="256">
        <f>+'Tabel 2025 52 weken incl. 27'!B45</f>
        <v>42336</v>
      </c>
      <c r="D45" s="142">
        <f>+'Tabel 2025 52 weken incl. 27'!D45</f>
        <v>0.96</v>
      </c>
      <c r="E45" s="140"/>
      <c r="F45" s="293">
        <f t="shared" si="0"/>
        <v>1.4483999999999999</v>
      </c>
      <c r="G45" s="292"/>
      <c r="H45" s="293">
        <f t="shared" si="1"/>
        <v>1.4608000000000003</v>
      </c>
      <c r="J45" s="143">
        <f>+'Tabel 2025 52 weken incl. 27'!J45</f>
        <v>0.96</v>
      </c>
      <c r="K45" s="141"/>
      <c r="L45" s="295">
        <f t="shared" si="2"/>
        <v>1.4483999999999999</v>
      </c>
      <c r="M45" s="294"/>
      <c r="N45" s="295">
        <f t="shared" si="3"/>
        <v>1.4608000000000003</v>
      </c>
      <c r="R45" t="s">
        <v>77</v>
      </c>
      <c r="S45" t="s">
        <v>77</v>
      </c>
      <c r="T45" t="s">
        <v>77</v>
      </c>
      <c r="U45" t="s">
        <v>78</v>
      </c>
      <c r="V45" t="s">
        <v>70</v>
      </c>
    </row>
    <row r="46" spans="1:24" ht="15">
      <c r="A46" s="256">
        <f>+'Tabel 2025 52 weken incl. 27'!A46</f>
        <v>42337</v>
      </c>
      <c r="B46" s="256">
        <f>+'Tabel 2025 52 weken incl. 27'!B46</f>
        <v>43998</v>
      </c>
      <c r="D46" s="142">
        <f>+'Tabel 2025 52 weken incl. 27'!D46</f>
        <v>0.96</v>
      </c>
      <c r="E46" s="140"/>
      <c r="F46" s="293">
        <f t="shared" si="0"/>
        <v>1.4483999999999999</v>
      </c>
      <c r="G46" s="292"/>
      <c r="H46" s="293">
        <f t="shared" si="1"/>
        <v>1.4608000000000003</v>
      </c>
      <c r="J46" s="143">
        <f>+'Tabel 2025 52 weken incl. 27'!J46</f>
        <v>0.96</v>
      </c>
      <c r="K46" s="141"/>
      <c r="L46" s="295">
        <f t="shared" si="2"/>
        <v>1.4483999999999999</v>
      </c>
      <c r="M46" s="294"/>
      <c r="N46" s="295">
        <f t="shared" si="3"/>
        <v>1.4608000000000003</v>
      </c>
      <c r="Q46">
        <f>26</f>
        <v>26</v>
      </c>
      <c r="R46">
        <f>Q46*3*2</f>
        <v>156</v>
      </c>
      <c r="S46">
        <f>4*7.5*2</f>
        <v>60</v>
      </c>
      <c r="T46">
        <f>R46+S46</f>
        <v>216</v>
      </c>
      <c r="U46">
        <f>T46*6.28</f>
        <v>1356.48</v>
      </c>
      <c r="V46" s="105">
        <f>T46*5.93*(100%-D46)+((6.28-5.93)*T46)</f>
        <v>126.83520000000016</v>
      </c>
      <c r="W46" s="244">
        <v>0.5</v>
      </c>
      <c r="X46" t="s">
        <v>79</v>
      </c>
    </row>
    <row r="47" spans="1:24" ht="15">
      <c r="A47" s="256">
        <f>+'Tabel 2025 52 weken incl. 27'!A47</f>
        <v>43999</v>
      </c>
      <c r="B47" s="256">
        <f>+'Tabel 2025 52 weken incl. 27'!B47</f>
        <v>45700</v>
      </c>
      <c r="D47" s="142">
        <f>+'Tabel 2025 52 weken incl. 27'!D47</f>
        <v>0.96</v>
      </c>
      <c r="E47" s="140"/>
      <c r="F47" s="293">
        <f t="shared" si="0"/>
        <v>1.4483999999999999</v>
      </c>
      <c r="G47" s="292"/>
      <c r="H47" s="293">
        <f t="shared" si="1"/>
        <v>1.4608000000000003</v>
      </c>
      <c r="J47" s="143">
        <f>+'Tabel 2025 52 weken incl. 27'!J47</f>
        <v>0.96</v>
      </c>
      <c r="K47" s="141"/>
      <c r="L47" s="295">
        <f t="shared" si="2"/>
        <v>1.4483999999999999</v>
      </c>
      <c r="M47" s="294"/>
      <c r="N47" s="295">
        <f t="shared" si="3"/>
        <v>1.4608000000000003</v>
      </c>
      <c r="V47" s="105">
        <f>T46*5.93*(100%-D46)+((W47-5.93)*T46)</f>
        <v>234.83520000000016</v>
      </c>
      <c r="W47">
        <f>6.28+W46</f>
        <v>6.78</v>
      </c>
    </row>
    <row r="48" spans="1:24" ht="15">
      <c r="A48" s="256">
        <f>+'Tabel 2025 52 weken incl. 27'!A48</f>
        <v>45701</v>
      </c>
      <c r="B48" s="256">
        <f>+'Tabel 2025 52 weken incl. 27'!B48</f>
        <v>47403</v>
      </c>
      <c r="D48" s="142">
        <f>+'Tabel 2025 52 weken incl. 27'!D48</f>
        <v>0.96</v>
      </c>
      <c r="E48" s="140"/>
      <c r="F48" s="293">
        <f t="shared" si="0"/>
        <v>1.4483999999999999</v>
      </c>
      <c r="G48" s="292"/>
      <c r="H48" s="293">
        <f t="shared" si="1"/>
        <v>1.4608000000000003</v>
      </c>
      <c r="J48" s="143">
        <f>+'Tabel 2025 52 weken incl. 27'!J48</f>
        <v>0.96</v>
      </c>
      <c r="K48" s="141"/>
      <c r="L48" s="295">
        <f t="shared" si="2"/>
        <v>1.4483999999999999</v>
      </c>
      <c r="M48" s="294"/>
      <c r="N48" s="295">
        <f t="shared" si="3"/>
        <v>1.4608000000000003</v>
      </c>
      <c r="T48">
        <f>1350/5/2*2</f>
        <v>270</v>
      </c>
      <c r="U48">
        <f>T48*6.28</f>
        <v>1695.6000000000001</v>
      </c>
      <c r="V48" s="105">
        <f>T48*5.93*(100%-D46)+((6.28-5.93)*T48)</f>
        <v>158.54400000000021</v>
      </c>
    </row>
    <row r="49" spans="1:16" ht="15">
      <c r="A49" s="256">
        <f>+'Tabel 2025 52 weken incl. 27'!A49</f>
        <v>47404</v>
      </c>
      <c r="B49" s="256">
        <f>+'Tabel 2025 52 weken incl. 27'!B49</f>
        <v>49108</v>
      </c>
      <c r="D49" s="142">
        <f>+'Tabel 2025 52 weken incl. 27'!D49</f>
        <v>0.95299999999999996</v>
      </c>
      <c r="E49" s="140"/>
      <c r="F49" s="293">
        <f t="shared" si="0"/>
        <v>1.5233700000000001</v>
      </c>
      <c r="G49" s="292"/>
      <c r="H49" s="293">
        <f t="shared" si="1"/>
        <v>1.5274400000000004</v>
      </c>
      <c r="J49" s="143">
        <f>+'Tabel 2025 52 weken incl. 27'!J49</f>
        <v>0.95599999999999996</v>
      </c>
      <c r="K49" s="141"/>
      <c r="L49" s="295">
        <f t="shared" si="2"/>
        <v>1.4912399999999999</v>
      </c>
      <c r="M49" s="294"/>
      <c r="N49" s="295">
        <f t="shared" si="3"/>
        <v>1.4988800000000004</v>
      </c>
    </row>
    <row r="50" spans="1:16" ht="15">
      <c r="A50" s="256">
        <f>+'Tabel 2025 52 weken incl. 27'!A50</f>
        <v>49109</v>
      </c>
      <c r="B50" s="256">
        <f>+'Tabel 2025 52 weken incl. 27'!B50</f>
        <v>50811</v>
      </c>
      <c r="D50" s="142">
        <f>+'Tabel 2025 52 weken incl. 27'!D50</f>
        <v>0.94599999999999995</v>
      </c>
      <c r="E50" s="140"/>
      <c r="F50" s="293">
        <f t="shared" si="0"/>
        <v>1.5983400000000001</v>
      </c>
      <c r="G50" s="292"/>
      <c r="H50" s="293">
        <f t="shared" si="1"/>
        <v>1.5940800000000004</v>
      </c>
      <c r="J50" s="143">
        <f>+'Tabel 2025 52 weken incl. 27'!J50</f>
        <v>0.95199999999999996</v>
      </c>
      <c r="K50" s="141"/>
      <c r="L50" s="295">
        <f t="shared" si="2"/>
        <v>1.5340800000000001</v>
      </c>
      <c r="M50" s="294"/>
      <c r="N50" s="295">
        <f t="shared" si="3"/>
        <v>1.5369600000000005</v>
      </c>
    </row>
    <row r="51" spans="1:16" ht="15">
      <c r="A51" s="256">
        <f>+'Tabel 2025 52 weken incl. 27'!A51</f>
        <v>50812</v>
      </c>
      <c r="B51" s="256">
        <f>+'Tabel 2025 52 weken incl. 27'!B51</f>
        <v>52519</v>
      </c>
      <c r="D51" s="142">
        <f>+'Tabel 2025 52 weken incl. 27'!D51</f>
        <v>0.93700000000000006</v>
      </c>
      <c r="E51" s="140"/>
      <c r="F51" s="293">
        <f t="shared" si="0"/>
        <v>1.694729999999999</v>
      </c>
      <c r="G51" s="292"/>
      <c r="H51" s="293">
        <f t="shared" si="1"/>
        <v>1.6797599999999995</v>
      </c>
      <c r="J51" s="143">
        <f>+'Tabel 2025 52 weken incl. 27'!J51</f>
        <v>0.94799999999999995</v>
      </c>
      <c r="K51" s="141"/>
      <c r="L51" s="295">
        <f t="shared" si="2"/>
        <v>1.5769200000000001</v>
      </c>
      <c r="M51" s="294"/>
      <c r="N51" s="295">
        <f t="shared" si="3"/>
        <v>1.5750400000000004</v>
      </c>
    </row>
    <row r="52" spans="1:16" ht="15">
      <c r="A52" s="256">
        <f>+'Tabel 2025 52 weken incl. 27'!A52</f>
        <v>52520</v>
      </c>
      <c r="B52" s="256">
        <f>+'Tabel 2025 52 weken incl. 27'!B52</f>
        <v>54221</v>
      </c>
      <c r="D52" s="142">
        <f>+'Tabel 2025 52 weken incl. 27'!D52</f>
        <v>0.93100000000000005</v>
      </c>
      <c r="E52" s="140"/>
      <c r="F52" s="293">
        <f t="shared" si="0"/>
        <v>1.7589899999999989</v>
      </c>
      <c r="G52" s="292"/>
      <c r="H52" s="293">
        <f t="shared" si="1"/>
        <v>1.7368799999999995</v>
      </c>
      <c r="J52" s="143">
        <f>+'Tabel 2025 52 weken incl. 27'!J52</f>
        <v>0.94499999999999995</v>
      </c>
      <c r="K52" s="141"/>
      <c r="L52" s="295">
        <f t="shared" si="2"/>
        <v>1.6090500000000001</v>
      </c>
      <c r="M52" s="294"/>
      <c r="N52" s="295">
        <f t="shared" si="3"/>
        <v>1.6036000000000006</v>
      </c>
    </row>
    <row r="53" spans="1:16" ht="15">
      <c r="A53" s="256">
        <f>+'Tabel 2025 52 weken incl. 27'!A53</f>
        <v>54222</v>
      </c>
      <c r="B53" s="256">
        <f>+'Tabel 2025 52 weken incl. 27'!B53</f>
        <v>55925</v>
      </c>
      <c r="D53" s="142">
        <f>+'Tabel 2025 52 weken incl. 27'!D53</f>
        <v>0.92300000000000004</v>
      </c>
      <c r="E53" s="140"/>
      <c r="F53" s="293">
        <f t="shared" si="0"/>
        <v>1.8446699999999991</v>
      </c>
      <c r="G53" s="292"/>
      <c r="H53" s="293">
        <f t="shared" si="1"/>
        <v>1.8130399999999995</v>
      </c>
      <c r="J53" s="143">
        <f>+'Tabel 2025 52 weken incl. 27'!J53</f>
        <v>0.94499999999999995</v>
      </c>
      <c r="K53" s="141"/>
      <c r="L53" s="295">
        <f t="shared" si="2"/>
        <v>1.6090500000000001</v>
      </c>
      <c r="M53" s="294"/>
      <c r="N53" s="295">
        <f t="shared" si="3"/>
        <v>1.6036000000000006</v>
      </c>
    </row>
    <row r="54" spans="1:16" ht="15">
      <c r="A54" s="256">
        <f>+'Tabel 2025 52 weken incl. 27'!A54</f>
        <v>55926</v>
      </c>
      <c r="B54" s="256">
        <f>+'Tabel 2025 52 weken incl. 27'!B54</f>
        <v>57629</v>
      </c>
      <c r="D54" s="142">
        <f>+'Tabel 2025 52 weken incl. 27'!D54</f>
        <v>0.91600000000000004</v>
      </c>
      <c r="E54" s="140"/>
      <c r="F54" s="293">
        <f t="shared" si="0"/>
        <v>1.9196399999999993</v>
      </c>
      <c r="G54" s="292"/>
      <c r="H54" s="293">
        <f t="shared" si="1"/>
        <v>1.8796799999999996</v>
      </c>
      <c r="J54" s="143">
        <f>+'Tabel 2025 52 weken incl. 27'!J54</f>
        <v>0.94499999999999995</v>
      </c>
      <c r="K54" s="141"/>
      <c r="L54" s="295">
        <f t="shared" si="2"/>
        <v>1.6090500000000001</v>
      </c>
      <c r="M54" s="294"/>
      <c r="N54" s="295">
        <f t="shared" si="3"/>
        <v>1.6036000000000006</v>
      </c>
    </row>
    <row r="55" spans="1:16" ht="15">
      <c r="A55" s="256">
        <f>+'Tabel 2025 52 weken incl. 27'!A55</f>
        <v>57630</v>
      </c>
      <c r="B55" s="256">
        <f>+'Tabel 2025 52 weken incl. 27'!B55</f>
        <v>59492</v>
      </c>
      <c r="D55" s="142">
        <f>+'Tabel 2025 52 weken incl. 27'!D55</f>
        <v>0.90700000000000003</v>
      </c>
      <c r="E55" s="140"/>
      <c r="F55" s="293">
        <f t="shared" si="0"/>
        <v>2.0160299999999993</v>
      </c>
      <c r="G55" s="292"/>
      <c r="H55" s="293">
        <f t="shared" si="1"/>
        <v>1.9653599999999998</v>
      </c>
      <c r="J55" s="143">
        <f>+'Tabel 2025 52 weken incl. 27'!J55</f>
        <v>0.94499999999999995</v>
      </c>
      <c r="K55" s="141"/>
      <c r="L55" s="295">
        <f t="shared" si="2"/>
        <v>1.6090500000000001</v>
      </c>
      <c r="M55" s="294"/>
      <c r="N55" s="295">
        <f t="shared" si="3"/>
        <v>1.6036000000000006</v>
      </c>
    </row>
    <row r="56" spans="1:16" ht="15">
      <c r="A56" s="256">
        <f>+'Tabel 2025 52 weken incl. 27'!A56</f>
        <v>59493</v>
      </c>
      <c r="B56" s="256">
        <f>+'Tabel 2025 52 weken incl. 27'!B56</f>
        <v>63144</v>
      </c>
      <c r="D56" s="142">
        <f>+'Tabel 2025 52 weken incl. 27'!D56</f>
        <v>0.89200000000000002</v>
      </c>
      <c r="E56" s="140"/>
      <c r="F56" s="293">
        <f t="shared" si="0"/>
        <v>2.1766799999999993</v>
      </c>
      <c r="G56" s="292"/>
      <c r="H56" s="293">
        <f t="shared" si="1"/>
        <v>2.1081599999999998</v>
      </c>
      <c r="J56" s="143">
        <f>+'Tabel 2025 52 weken incl. 27'!J56</f>
        <v>0.94499999999999995</v>
      </c>
      <c r="K56" s="141"/>
      <c r="L56" s="295">
        <f t="shared" si="2"/>
        <v>1.6090500000000001</v>
      </c>
      <c r="M56" s="294"/>
      <c r="N56" s="295">
        <f t="shared" si="3"/>
        <v>1.6036000000000006</v>
      </c>
    </row>
    <row r="57" spans="1:16" ht="15">
      <c r="A57" s="256">
        <f>+'Tabel 2025 52 weken incl. 27'!A57</f>
        <v>63145</v>
      </c>
      <c r="B57" s="256">
        <f>+'Tabel 2025 52 weken incl. 27'!B57</f>
        <v>66794</v>
      </c>
      <c r="D57" s="142">
        <f>+'Tabel 2025 52 weken incl. 27'!D57</f>
        <v>0.88400000000000001</v>
      </c>
      <c r="E57" s="140"/>
      <c r="F57" s="293">
        <f t="shared" si="0"/>
        <v>2.2623599999999993</v>
      </c>
      <c r="G57" s="292"/>
      <c r="H57" s="293">
        <f t="shared" si="1"/>
        <v>2.18432</v>
      </c>
      <c r="J57" s="143">
        <f>+'Tabel 2025 52 weken incl. 27'!J57</f>
        <v>0.94099999999999995</v>
      </c>
      <c r="K57" s="141"/>
      <c r="L57" s="295">
        <f t="shared" si="2"/>
        <v>1.6518900000000003</v>
      </c>
      <c r="M57" s="294"/>
      <c r="N57" s="295">
        <f t="shared" si="3"/>
        <v>1.6416800000000005</v>
      </c>
    </row>
    <row r="58" spans="1:16" ht="15">
      <c r="A58" s="256">
        <f>+'Tabel 2025 52 weken incl. 27'!A58</f>
        <v>66795</v>
      </c>
      <c r="B58" s="256">
        <f>+'Tabel 2025 52 weken incl. 27'!B58</f>
        <v>70446</v>
      </c>
      <c r="D58" s="142">
        <f>+'Tabel 2025 52 weken incl. 27'!D58</f>
        <v>0.873</v>
      </c>
      <c r="E58" s="140"/>
      <c r="F58" s="293">
        <f t="shared" si="0"/>
        <v>2.3801699999999997</v>
      </c>
      <c r="G58" s="292"/>
      <c r="H58" s="293">
        <f t="shared" si="1"/>
        <v>2.28904</v>
      </c>
      <c r="J58" s="143">
        <f>+'Tabel 2025 52 weken incl. 27'!J58</f>
        <v>0.93500000000000005</v>
      </c>
      <c r="K58" s="141"/>
      <c r="L58" s="295">
        <f t="shared" si="2"/>
        <v>1.716149999999999</v>
      </c>
      <c r="M58" s="294"/>
      <c r="N58" s="295">
        <f t="shared" si="3"/>
        <v>1.6987999999999994</v>
      </c>
    </row>
    <row r="59" spans="1:16" ht="15">
      <c r="A59" s="256">
        <f>+'Tabel 2025 52 weken incl. 27'!A59</f>
        <v>70447</v>
      </c>
      <c r="B59" s="256">
        <f>+'Tabel 2025 52 weken incl. 27'!B59</f>
        <v>74100</v>
      </c>
      <c r="D59" s="142">
        <f>+'Tabel 2025 52 weken incl. 27'!D59</f>
        <v>0.85</v>
      </c>
      <c r="E59" s="140"/>
      <c r="F59" s="293">
        <f t="shared" si="0"/>
        <v>2.6265000000000001</v>
      </c>
      <c r="G59" s="292"/>
      <c r="H59" s="293">
        <f t="shared" si="1"/>
        <v>2.508</v>
      </c>
      <c r="J59" s="143">
        <f>+'Tabel 2025 52 weken incl. 27'!J59</f>
        <v>0.93100000000000005</v>
      </c>
      <c r="K59" s="141"/>
      <c r="L59" s="295">
        <f t="shared" si="2"/>
        <v>1.7589899999999989</v>
      </c>
      <c r="M59" s="294"/>
      <c r="N59" s="295">
        <f t="shared" si="3"/>
        <v>1.7368799999999995</v>
      </c>
    </row>
    <row r="60" spans="1:16" ht="15">
      <c r="A60" s="256">
        <f>+'Tabel 2025 52 weken incl. 27'!A60</f>
        <v>74101</v>
      </c>
      <c r="B60" s="256">
        <f>+'Tabel 2025 52 weken incl. 27'!B60</f>
        <v>77750</v>
      </c>
      <c r="D60" s="142">
        <f>+'Tabel 2025 52 weken incl. 27'!D60</f>
        <v>0.82699999999999996</v>
      </c>
      <c r="E60" s="140"/>
      <c r="F60" s="293">
        <f t="shared" si="0"/>
        <v>2.8728300000000004</v>
      </c>
      <c r="G60" s="292"/>
      <c r="H60" s="293">
        <f t="shared" si="1"/>
        <v>2.7269600000000005</v>
      </c>
      <c r="J60" s="143">
        <f>+'Tabel 2025 52 weken incl. 27'!J60</f>
        <v>0.92800000000000005</v>
      </c>
      <c r="K60" s="141"/>
      <c r="L60" s="295">
        <f t="shared" si="2"/>
        <v>1.7911199999999992</v>
      </c>
      <c r="M60" s="294"/>
      <c r="N60" s="295">
        <f t="shared" si="3"/>
        <v>1.7654399999999995</v>
      </c>
    </row>
    <row r="61" spans="1:16" ht="15">
      <c r="A61" s="256">
        <f>+'Tabel 2025 52 weken incl. 27'!A61</f>
        <v>77751</v>
      </c>
      <c r="B61" s="256">
        <f>+'Tabel 2025 52 weken incl. 27'!B61</f>
        <v>81404</v>
      </c>
      <c r="D61" s="142">
        <f>+'Tabel 2025 52 weken incl. 27'!D61</f>
        <v>0.80500000000000005</v>
      </c>
      <c r="E61" s="140"/>
      <c r="F61" s="293">
        <f t="shared" si="0"/>
        <v>3.108449999999999</v>
      </c>
      <c r="G61" s="292"/>
      <c r="H61" s="293">
        <f t="shared" si="1"/>
        <v>2.9363999999999995</v>
      </c>
      <c r="J61" s="143">
        <f>+'Tabel 2025 52 weken incl. 27'!J61</f>
        <v>0.92100000000000004</v>
      </c>
      <c r="K61" s="141"/>
      <c r="L61" s="295">
        <f t="shared" si="2"/>
        <v>1.8660899999999994</v>
      </c>
      <c r="M61" s="294"/>
      <c r="N61" s="295">
        <f t="shared" si="3"/>
        <v>1.8320799999999995</v>
      </c>
    </row>
    <row r="62" spans="1:16" ht="15">
      <c r="A62" s="256">
        <f>+'Tabel 2025 52 weken incl. 27'!A62</f>
        <v>81405</v>
      </c>
      <c r="B62" s="256">
        <f>+'Tabel 2025 52 weken incl. 27'!B62</f>
        <v>85055</v>
      </c>
      <c r="D62" s="142">
        <f>+'Tabel 2025 52 weken incl. 27'!D62</f>
        <v>0.78</v>
      </c>
      <c r="E62" s="140"/>
      <c r="F62" s="293">
        <f t="shared" si="0"/>
        <v>3.3761999999999994</v>
      </c>
      <c r="G62" s="292"/>
      <c r="H62" s="293">
        <f t="shared" si="1"/>
        <v>3.1743999999999999</v>
      </c>
      <c r="J62" s="143">
        <f>+'Tabel 2025 52 weken incl. 27'!J62</f>
        <v>0.91600000000000004</v>
      </c>
      <c r="K62" s="141"/>
      <c r="L62" s="295">
        <f t="shared" si="2"/>
        <v>1.9196399999999993</v>
      </c>
      <c r="M62" s="294"/>
      <c r="N62" s="295">
        <f t="shared" si="3"/>
        <v>1.8796799999999996</v>
      </c>
    </row>
    <row r="63" spans="1:16" ht="15">
      <c r="A63" s="256">
        <f>+'Tabel 2025 52 weken incl. 27'!A63</f>
        <v>85056</v>
      </c>
      <c r="B63" s="256">
        <f>+'Tabel 2025 52 weken incl. 27'!B63</f>
        <v>88707</v>
      </c>
      <c r="D63" s="142">
        <f>+'Tabel 2025 52 weken incl. 27'!D63</f>
        <v>0.75700000000000001</v>
      </c>
      <c r="E63" s="140"/>
      <c r="F63" s="293">
        <f t="shared" si="0"/>
        <v>3.6225299999999998</v>
      </c>
      <c r="G63" s="292"/>
      <c r="H63" s="293">
        <f t="shared" si="1"/>
        <v>3.3933599999999999</v>
      </c>
      <c r="J63" s="143">
        <f>+'Tabel 2025 52 weken incl. 27'!J63</f>
        <v>0.91100000000000003</v>
      </c>
      <c r="K63" s="141"/>
      <c r="L63" s="295">
        <f t="shared" si="2"/>
        <v>1.9731899999999993</v>
      </c>
      <c r="M63" s="294"/>
      <c r="N63" s="295">
        <f t="shared" si="3"/>
        <v>1.9272799999999997</v>
      </c>
      <c r="P63" s="104"/>
    </row>
    <row r="64" spans="1:16" ht="15">
      <c r="A64" s="256">
        <f>+'Tabel 2025 52 weken incl. 27'!A64</f>
        <v>88708</v>
      </c>
      <c r="B64" s="256">
        <f>+'Tabel 2025 52 weken incl. 27'!B64</f>
        <v>92360</v>
      </c>
      <c r="D64" s="142">
        <f>+'Tabel 2025 52 weken incl. 27'!D64</f>
        <v>0.73499999999999999</v>
      </c>
      <c r="E64" s="140"/>
      <c r="F64" s="293">
        <f t="shared" si="0"/>
        <v>3.8581499999999997</v>
      </c>
      <c r="G64" s="292"/>
      <c r="H64" s="293">
        <f t="shared" si="1"/>
        <v>3.6028000000000002</v>
      </c>
      <c r="J64" s="143">
        <f>+'Tabel 2025 52 weken incl. 27'!J64</f>
        <v>0.90400000000000003</v>
      </c>
      <c r="K64" s="141"/>
      <c r="L64" s="295">
        <f t="shared" si="2"/>
        <v>2.0481599999999993</v>
      </c>
      <c r="M64" s="294"/>
      <c r="N64" s="295">
        <f t="shared" si="3"/>
        <v>1.9939199999999997</v>
      </c>
    </row>
    <row r="65" spans="1:16" ht="15">
      <c r="A65" s="256">
        <f>+'Tabel 2025 52 weken incl. 27'!A65</f>
        <v>92361</v>
      </c>
      <c r="B65" s="256">
        <f>+'Tabel 2025 52 weken incl. 27'!B65</f>
        <v>96010</v>
      </c>
      <c r="D65" s="142">
        <f>+'Tabel 2025 52 weken incl. 27'!D65</f>
        <v>0.71099999999999997</v>
      </c>
      <c r="E65" s="140"/>
      <c r="F65" s="293">
        <f t="shared" si="0"/>
        <v>4.1151900000000001</v>
      </c>
      <c r="G65" s="292"/>
      <c r="H65" s="293">
        <f t="shared" si="1"/>
        <v>3.8312800000000005</v>
      </c>
      <c r="J65" s="143">
        <f>+'Tabel 2025 52 weken incl. 27'!J65</f>
        <v>0.89800000000000002</v>
      </c>
      <c r="K65" s="141"/>
      <c r="L65" s="295">
        <f t="shared" si="2"/>
        <v>2.1124199999999993</v>
      </c>
      <c r="M65" s="294"/>
      <c r="N65" s="295">
        <f t="shared" si="3"/>
        <v>2.05104</v>
      </c>
    </row>
    <row r="66" spans="1:16" ht="15">
      <c r="A66" s="256">
        <f>+'Tabel 2025 52 weken incl. 27'!A66</f>
        <v>96011</v>
      </c>
      <c r="B66" s="256">
        <f>+'Tabel 2025 52 weken incl. 27'!B66</f>
        <v>99667</v>
      </c>
      <c r="D66" s="142">
        <f>+'Tabel 2025 52 weken incl. 27'!D66</f>
        <v>0.68899999999999995</v>
      </c>
      <c r="E66" s="140"/>
      <c r="F66" s="293">
        <f t="shared" si="0"/>
        <v>4.350810000000001</v>
      </c>
      <c r="G66" s="292"/>
      <c r="H66" s="293">
        <f t="shared" si="1"/>
        <v>4.0407200000000003</v>
      </c>
      <c r="J66" s="143">
        <f>+'Tabel 2025 52 weken incl. 27'!J66</f>
        <v>0.89400000000000002</v>
      </c>
      <c r="K66" s="141"/>
      <c r="L66" s="295">
        <f t="shared" si="2"/>
        <v>2.1552599999999993</v>
      </c>
      <c r="M66" s="294"/>
      <c r="N66" s="295">
        <f t="shared" si="3"/>
        <v>2.0891199999999999</v>
      </c>
    </row>
    <row r="67" spans="1:16" ht="15">
      <c r="A67" s="256">
        <f>+'Tabel 2025 52 weken incl. 27'!A67</f>
        <v>99668</v>
      </c>
      <c r="B67" s="256">
        <f>+'Tabel 2025 52 weken incl. 27'!B67</f>
        <v>103318</v>
      </c>
      <c r="D67" s="142">
        <f>+'Tabel 2025 52 weken incl. 27'!D67</f>
        <v>0.66400000000000003</v>
      </c>
      <c r="E67" s="140"/>
      <c r="F67" s="293">
        <f t="shared" si="0"/>
        <v>4.6185599999999996</v>
      </c>
      <c r="G67" s="292"/>
      <c r="H67" s="293">
        <f t="shared" si="1"/>
        <v>4.2787199999999999</v>
      </c>
      <c r="J67" s="143">
        <f>+'Tabel 2025 52 weken incl. 27'!J67</f>
        <v>0.89100000000000001</v>
      </c>
      <c r="K67" s="141"/>
      <c r="L67" s="295">
        <f t="shared" si="2"/>
        <v>2.1873899999999997</v>
      </c>
      <c r="M67" s="294"/>
      <c r="N67" s="295">
        <f t="shared" si="3"/>
        <v>2.11768</v>
      </c>
    </row>
    <row r="68" spans="1:16" ht="15">
      <c r="A68" s="256">
        <f>+'Tabel 2025 52 weken incl. 27'!A68</f>
        <v>103319</v>
      </c>
      <c r="B68" s="256">
        <f>+'Tabel 2025 52 weken incl. 27'!B68</f>
        <v>106968</v>
      </c>
      <c r="D68" s="142">
        <f>+'Tabel 2025 52 weken incl. 27'!D68</f>
        <v>0.64100000000000001</v>
      </c>
      <c r="E68" s="140"/>
      <c r="F68" s="293">
        <f t="shared" si="0"/>
        <v>4.8648899999999999</v>
      </c>
      <c r="G68" s="292"/>
      <c r="H68" s="293">
        <f t="shared" si="1"/>
        <v>4.4976799999999999</v>
      </c>
      <c r="J68" s="143">
        <f>+'Tabel 2025 52 weken incl. 27'!J68</f>
        <v>0.88400000000000001</v>
      </c>
      <c r="K68" s="141"/>
      <c r="L68" s="295">
        <f t="shared" si="2"/>
        <v>2.2623599999999993</v>
      </c>
      <c r="M68" s="294"/>
      <c r="N68" s="295">
        <f t="shared" si="3"/>
        <v>2.18432</v>
      </c>
    </row>
    <row r="69" spans="1:16" ht="15">
      <c r="A69" s="256">
        <f>+'Tabel 2025 52 weken incl. 27'!A69</f>
        <v>106969</v>
      </c>
      <c r="B69" s="256">
        <f>+'Tabel 2025 52 weken incl. 27'!B69</f>
        <v>110621</v>
      </c>
      <c r="D69" s="142">
        <f>+'Tabel 2025 52 weken incl. 27'!D69</f>
        <v>0.61899999999999999</v>
      </c>
      <c r="E69" s="140"/>
      <c r="F69" s="293">
        <f t="shared" si="0"/>
        <v>5.1005099999999999</v>
      </c>
      <c r="G69" s="292"/>
      <c r="H69" s="293">
        <f t="shared" si="1"/>
        <v>4.7071199999999997</v>
      </c>
      <c r="J69" s="143">
        <f>+'Tabel 2025 52 weken incl. 27'!J69</f>
        <v>0.88</v>
      </c>
      <c r="K69" s="141"/>
      <c r="L69" s="295">
        <f t="shared" si="2"/>
        <v>2.3051999999999997</v>
      </c>
      <c r="M69" s="294"/>
      <c r="N69" s="295">
        <f t="shared" si="3"/>
        <v>2.2223999999999999</v>
      </c>
    </row>
    <row r="70" spans="1:16" ht="15">
      <c r="A70" s="256">
        <f>+'Tabel 2025 52 weken incl. 27'!A70</f>
        <v>110622</v>
      </c>
      <c r="B70" s="256">
        <f>+'Tabel 2025 52 weken incl. 27'!B70</f>
        <v>114344</v>
      </c>
      <c r="D70" s="142">
        <f>+'Tabel 2025 52 weken incl. 27'!D70</f>
        <v>0.59499999999999997</v>
      </c>
      <c r="E70" s="140"/>
      <c r="F70" s="293">
        <f t="shared" si="0"/>
        <v>5.3575499999999998</v>
      </c>
      <c r="G70" s="292"/>
      <c r="H70" s="293">
        <f t="shared" si="1"/>
        <v>4.9356</v>
      </c>
      <c r="J70" s="143">
        <f>+'Tabel 2025 52 weken incl. 27'!J70</f>
        <v>0.875</v>
      </c>
      <c r="K70" s="141"/>
      <c r="L70" s="295">
        <f t="shared" si="2"/>
        <v>2.3587499999999997</v>
      </c>
      <c r="M70" s="294"/>
      <c r="N70" s="295">
        <f t="shared" si="3"/>
        <v>2.27</v>
      </c>
    </row>
    <row r="71" spans="1:16" ht="15">
      <c r="A71" s="256">
        <f>+'Tabel 2025 52 weken incl. 27'!A71</f>
        <v>114345</v>
      </c>
      <c r="B71" s="256">
        <f>+'Tabel 2025 52 weken incl. 27'!B71</f>
        <v>118086</v>
      </c>
      <c r="D71" s="142">
        <f>+'Tabel 2025 52 weken incl. 27'!D71</f>
        <v>0.57399999999999995</v>
      </c>
      <c r="E71" s="140"/>
      <c r="F71" s="293">
        <f t="shared" si="0"/>
        <v>5.5824600000000002</v>
      </c>
      <c r="G71" s="292"/>
      <c r="H71" s="293">
        <f t="shared" si="1"/>
        <v>5.1355200000000005</v>
      </c>
      <c r="J71" s="143">
        <f>+'Tabel 2025 52 weken incl. 27'!J71</f>
        <v>0.86799999999999999</v>
      </c>
      <c r="K71" s="141"/>
      <c r="L71" s="295">
        <f t="shared" si="2"/>
        <v>2.4337199999999997</v>
      </c>
      <c r="M71" s="294"/>
      <c r="N71" s="295">
        <f t="shared" si="3"/>
        <v>2.3366400000000001</v>
      </c>
    </row>
    <row r="72" spans="1:16" ht="15">
      <c r="A72" s="256">
        <f>+'Tabel 2025 52 weken incl. 27'!A72</f>
        <v>118087</v>
      </c>
      <c r="B72" s="256">
        <f>+'Tabel 2025 52 weken incl. 27'!B72</f>
        <v>121825</v>
      </c>
      <c r="D72" s="142">
        <f>+'Tabel 2025 52 weken incl. 27'!D72</f>
        <v>0.55300000000000005</v>
      </c>
      <c r="E72" s="140"/>
      <c r="F72" s="293">
        <f t="shared" si="0"/>
        <v>5.8073699999999997</v>
      </c>
      <c r="G72" s="292"/>
      <c r="H72" s="293">
        <f t="shared" si="1"/>
        <v>5.3354399999999993</v>
      </c>
      <c r="J72" s="143">
        <f>+'Tabel 2025 52 weken incl. 27'!J72</f>
        <v>0.86299999999999999</v>
      </c>
      <c r="K72" s="141"/>
      <c r="L72" s="295">
        <f t="shared" si="2"/>
        <v>2.4872699999999996</v>
      </c>
      <c r="M72" s="294"/>
      <c r="N72" s="295">
        <f t="shared" si="3"/>
        <v>2.3842400000000001</v>
      </c>
    </row>
    <row r="73" spans="1:16" ht="15">
      <c r="A73" s="256">
        <f>+'Tabel 2025 52 weken incl. 27'!A73</f>
        <v>121826</v>
      </c>
      <c r="B73" s="256">
        <f>+'Tabel 2025 52 weken incl. 27'!B73</f>
        <v>125565</v>
      </c>
      <c r="D73" s="142">
        <f>+'Tabel 2025 52 weken incl. 27'!D73</f>
        <v>0.53200000000000003</v>
      </c>
      <c r="E73" s="140"/>
      <c r="F73" s="293">
        <f t="shared" si="0"/>
        <v>6.0322800000000001</v>
      </c>
      <c r="G73" s="292"/>
      <c r="H73" s="293">
        <f t="shared" si="1"/>
        <v>5.5353599999999998</v>
      </c>
      <c r="J73" s="143">
        <f>+'Tabel 2025 52 weken incl. 27'!J73</f>
        <v>0.85899999999999999</v>
      </c>
      <c r="K73" s="141"/>
      <c r="L73" s="295">
        <f t="shared" si="2"/>
        <v>2.5301099999999996</v>
      </c>
      <c r="M73" s="294"/>
      <c r="N73" s="295">
        <f t="shared" si="3"/>
        <v>2.42232</v>
      </c>
    </row>
    <row r="74" spans="1:16" ht="15">
      <c r="A74" s="256">
        <f>+'Tabel 2025 52 weken incl. 27'!A74</f>
        <v>125566</v>
      </c>
      <c r="B74" s="256">
        <f>+'Tabel 2025 52 weken incl. 27'!B74</f>
        <v>129303</v>
      </c>
      <c r="D74" s="142">
        <f>+'Tabel 2025 52 weken incl. 27'!D74</f>
        <v>0.51</v>
      </c>
      <c r="E74" s="140"/>
      <c r="F74" s="293">
        <f t="shared" si="0"/>
        <v>6.2679</v>
      </c>
      <c r="G74" s="292"/>
      <c r="H74" s="293">
        <f t="shared" si="1"/>
        <v>5.7447999999999997</v>
      </c>
      <c r="J74" s="143">
        <f>+'Tabel 2025 52 weken incl. 27'!J74</f>
        <v>0.85599999999999998</v>
      </c>
      <c r="K74" s="141"/>
      <c r="L74" s="295">
        <f t="shared" si="2"/>
        <v>2.5622400000000001</v>
      </c>
      <c r="M74" s="294"/>
      <c r="N74" s="295">
        <f t="shared" si="3"/>
        <v>2.4508800000000002</v>
      </c>
    </row>
    <row r="75" spans="1:16" ht="15">
      <c r="A75" s="256">
        <f>+'Tabel 2025 52 weken incl. 27'!A75</f>
        <v>129304</v>
      </c>
      <c r="B75" s="256">
        <f>+'Tabel 2025 52 weken incl. 27'!B75</f>
        <v>133045</v>
      </c>
      <c r="D75" s="142">
        <f>+'Tabel 2025 52 weken incl. 27'!D75</f>
        <v>0.49099999999999999</v>
      </c>
      <c r="E75" s="140"/>
      <c r="F75" s="293">
        <f t="shared" si="0"/>
        <v>6.4713900000000004</v>
      </c>
      <c r="G75" s="292"/>
      <c r="H75" s="293">
        <f t="shared" si="1"/>
        <v>5.9256799999999998</v>
      </c>
      <c r="J75" s="143">
        <f>+'Tabel 2025 52 weken incl. 27'!J75</f>
        <v>0.84899999999999998</v>
      </c>
      <c r="K75" s="141"/>
      <c r="L75" s="295">
        <f t="shared" si="2"/>
        <v>2.6372100000000001</v>
      </c>
      <c r="M75" s="294"/>
      <c r="N75" s="295">
        <f t="shared" si="3"/>
        <v>2.5175200000000002</v>
      </c>
    </row>
    <row r="76" spans="1:16" ht="15">
      <c r="A76" s="256">
        <f>+'Tabel 2025 52 weken incl. 27'!A76</f>
        <v>133046</v>
      </c>
      <c r="B76" s="256">
        <f>+'Tabel 2025 52 weken incl. 27'!B76</f>
        <v>136786</v>
      </c>
      <c r="D76" s="142">
        <f>+'Tabel 2025 52 weken incl. 27'!D76</f>
        <v>0.47199999999999998</v>
      </c>
      <c r="E76" s="140"/>
      <c r="F76" s="293">
        <f t="shared" si="0"/>
        <v>6.6748799999999999</v>
      </c>
      <c r="G76" s="292"/>
      <c r="H76" s="293">
        <f t="shared" si="1"/>
        <v>6.10656</v>
      </c>
      <c r="J76" s="143">
        <f>+'Tabel 2025 52 weken incl. 27'!J76</f>
        <v>0.84299999999999997</v>
      </c>
      <c r="K76" s="141"/>
      <c r="L76" s="295">
        <f t="shared" si="2"/>
        <v>2.70147</v>
      </c>
      <c r="M76" s="294"/>
      <c r="N76" s="295">
        <f t="shared" si="3"/>
        <v>2.5746400000000005</v>
      </c>
    </row>
    <row r="77" spans="1:16" ht="15">
      <c r="A77" s="256">
        <f>+'Tabel 2025 52 weken incl. 27'!A77</f>
        <v>136787</v>
      </c>
      <c r="B77" s="256">
        <f>+'Tabel 2025 52 weken incl. 27'!B77</f>
        <v>140528</v>
      </c>
      <c r="D77" s="142">
        <f>+'Tabel 2025 52 weken incl. 27'!D77</f>
        <v>0.45300000000000001</v>
      </c>
      <c r="E77" s="140"/>
      <c r="F77" s="293">
        <f t="shared" si="0"/>
        <v>6.8783699999999994</v>
      </c>
      <c r="G77" s="292"/>
      <c r="H77" s="293">
        <f t="shared" si="1"/>
        <v>6.2874399999999993</v>
      </c>
      <c r="J77" s="143">
        <f>+'Tabel 2025 52 weken incl. 27'!J77</f>
        <v>0.83899999999999997</v>
      </c>
      <c r="K77" s="141"/>
      <c r="L77" s="295">
        <f t="shared" si="2"/>
        <v>2.74431</v>
      </c>
      <c r="M77" s="294"/>
      <c r="N77" s="295">
        <f t="shared" si="3"/>
        <v>2.6127200000000004</v>
      </c>
    </row>
    <row r="78" spans="1:16" ht="15">
      <c r="A78" s="256">
        <f>+'Tabel 2025 52 weken incl. 27'!A78</f>
        <v>140529</v>
      </c>
      <c r="B78" s="256">
        <f>+'Tabel 2025 52 weken incl. 27'!B78</f>
        <v>144264</v>
      </c>
      <c r="D78" s="142">
        <f>+'Tabel 2025 52 weken incl. 27'!D78</f>
        <v>0.433</v>
      </c>
      <c r="E78" s="140"/>
      <c r="F78" s="293">
        <f t="shared" si="0"/>
        <v>7.0925699999999994</v>
      </c>
      <c r="G78" s="292"/>
      <c r="H78" s="293">
        <f t="shared" si="1"/>
        <v>6.4778399999999996</v>
      </c>
      <c r="J78" s="143">
        <f>+'Tabel 2025 52 weken incl. 27'!J78</f>
        <v>0.83299999999999996</v>
      </c>
      <c r="K78" s="141"/>
      <c r="L78" s="295">
        <f t="shared" si="2"/>
        <v>2.80857</v>
      </c>
      <c r="M78" s="294"/>
      <c r="N78" s="295">
        <f t="shared" si="3"/>
        <v>2.6698400000000007</v>
      </c>
      <c r="O78" s="106"/>
      <c r="P78" s="10"/>
    </row>
    <row r="79" spans="1:16" ht="15">
      <c r="A79" s="256">
        <f>+'Tabel 2025 52 weken incl. 27'!A79</f>
        <v>144265</v>
      </c>
      <c r="B79" s="256">
        <f>+'Tabel 2025 52 weken incl. 27'!B79</f>
        <v>148003</v>
      </c>
      <c r="D79" s="142">
        <f>+'Tabel 2025 52 weken incl. 27'!D79</f>
        <v>0.41299999999999998</v>
      </c>
      <c r="E79" s="140"/>
      <c r="F79" s="293">
        <f t="shared" si="0"/>
        <v>7.3067699999999993</v>
      </c>
      <c r="G79" s="292"/>
      <c r="H79" s="293">
        <f t="shared" si="1"/>
        <v>6.6682399999999991</v>
      </c>
      <c r="J79" s="143">
        <f>+'Tabel 2025 52 weken incl. 27'!J79</f>
        <v>0.82899999999999996</v>
      </c>
      <c r="K79" s="141"/>
      <c r="L79" s="295">
        <f t="shared" si="2"/>
        <v>2.8514100000000004</v>
      </c>
      <c r="M79" s="294"/>
      <c r="N79" s="295">
        <f t="shared" si="3"/>
        <v>2.7079200000000005</v>
      </c>
    </row>
    <row r="80" spans="1:16" ht="15">
      <c r="A80" s="256">
        <f>+'Tabel 2025 52 weken incl. 27'!A80</f>
        <v>148004</v>
      </c>
      <c r="B80" s="256">
        <f>+'Tabel 2025 52 weken incl. 27'!B80</f>
        <v>151746</v>
      </c>
      <c r="D80" s="142">
        <f>+'Tabel 2025 52 weken incl. 27'!D80</f>
        <v>0.39300000000000002</v>
      </c>
      <c r="E80" s="140"/>
      <c r="F80" s="293">
        <f t="shared" si="0"/>
        <v>7.5209700000000002</v>
      </c>
      <c r="G80" s="292"/>
      <c r="H80" s="293">
        <f t="shared" si="1"/>
        <v>6.8586399999999994</v>
      </c>
      <c r="J80" s="143">
        <f>+'Tabel 2025 52 weken incl. 27'!J80</f>
        <v>0.82199999999999995</v>
      </c>
      <c r="K80" s="141"/>
      <c r="L80" s="295">
        <f t="shared" si="2"/>
        <v>2.92638</v>
      </c>
      <c r="M80" s="294"/>
      <c r="N80" s="295">
        <f t="shared" si="3"/>
        <v>2.7745600000000001</v>
      </c>
    </row>
    <row r="81" spans="1:14" ht="15">
      <c r="A81" s="256">
        <f>+'Tabel 2025 52 weken incl. 27'!A81</f>
        <v>151747</v>
      </c>
      <c r="B81" s="256">
        <f>+'Tabel 2025 52 weken incl. 27'!B81</f>
        <v>155484</v>
      </c>
      <c r="D81" s="142">
        <f>+'Tabel 2025 52 weken incl. 27'!D81</f>
        <v>0.373</v>
      </c>
      <c r="E81" s="140"/>
      <c r="F81" s="293">
        <f t="shared" si="0"/>
        <v>7.7351700000000001</v>
      </c>
      <c r="G81" s="292"/>
      <c r="H81" s="293">
        <f t="shared" si="1"/>
        <v>7.0490399999999998</v>
      </c>
      <c r="J81" s="143">
        <f>+'Tabel 2025 52 weken incl. 27'!J81</f>
        <v>0.81599999999999995</v>
      </c>
      <c r="K81" s="141"/>
      <c r="L81" s="295">
        <f t="shared" si="2"/>
        <v>2.99064</v>
      </c>
      <c r="M81" s="294"/>
      <c r="N81" s="295">
        <f t="shared" si="3"/>
        <v>2.8316800000000004</v>
      </c>
    </row>
    <row r="82" spans="1:14" ht="15">
      <c r="A82" s="256">
        <f>+'Tabel 2025 52 weken incl. 27'!A82</f>
        <v>155485</v>
      </c>
      <c r="B82" s="256">
        <f>+'Tabel 2025 52 weken incl. 27'!B82</f>
        <v>159224</v>
      </c>
      <c r="D82" s="142">
        <f>+'Tabel 2025 52 weken incl. 27'!D82</f>
        <v>0.35299999999999998</v>
      </c>
      <c r="E82" s="140"/>
      <c r="F82" s="293">
        <f t="shared" si="0"/>
        <v>7.94937</v>
      </c>
      <c r="G82" s="292"/>
      <c r="H82" s="293">
        <f t="shared" si="1"/>
        <v>7.2394400000000001</v>
      </c>
      <c r="J82" s="143">
        <f>+'Tabel 2025 52 weken incl. 27'!J82</f>
        <v>0.80600000000000005</v>
      </c>
      <c r="K82" s="141"/>
      <c r="L82" s="295">
        <f t="shared" si="2"/>
        <v>3.097739999999999</v>
      </c>
      <c r="M82" s="294"/>
      <c r="N82" s="295">
        <f t="shared" si="3"/>
        <v>2.9268799999999997</v>
      </c>
    </row>
    <row r="83" spans="1:14" ht="15">
      <c r="A83" s="256">
        <f>+'Tabel 2025 52 weken incl. 27'!A83</f>
        <v>159225</v>
      </c>
      <c r="B83" s="256">
        <f>+'Tabel 2025 52 weken incl. 27'!B83</f>
        <v>162963</v>
      </c>
      <c r="D83" s="142">
        <f>+'Tabel 2025 52 weken incl. 27'!D83</f>
        <v>0.33300000000000002</v>
      </c>
      <c r="E83" s="140"/>
      <c r="F83" s="293">
        <f t="shared" si="0"/>
        <v>8.16357</v>
      </c>
      <c r="G83" s="292"/>
      <c r="H83" s="293">
        <f t="shared" si="1"/>
        <v>7.4298400000000004</v>
      </c>
      <c r="J83" s="143">
        <f>+'Tabel 2025 52 weken incl. 27'!J83</f>
        <v>0.80300000000000005</v>
      </c>
      <c r="K83" s="141"/>
      <c r="L83" s="295">
        <f t="shared" si="2"/>
        <v>3.129869999999999</v>
      </c>
      <c r="M83" s="294"/>
      <c r="N83" s="295">
        <f t="shared" si="3"/>
        <v>2.9554399999999994</v>
      </c>
    </row>
    <row r="84" spans="1:14" ht="15">
      <c r="A84" s="256">
        <f>+'Tabel 2025 52 weken incl. 27'!A84</f>
        <v>162964</v>
      </c>
      <c r="B84" s="256">
        <f>+'Tabel 2025 52 weken incl. 27'!B84</f>
        <v>166705</v>
      </c>
      <c r="D84" s="142">
        <f>+'Tabel 2025 52 weken incl. 27'!D84</f>
        <v>0.33300000000000002</v>
      </c>
      <c r="E84" s="140"/>
      <c r="F84" s="293">
        <f t="shared" si="0"/>
        <v>8.16357</v>
      </c>
      <c r="G84" s="292"/>
      <c r="H84" s="293">
        <f t="shared" si="1"/>
        <v>7.4298400000000004</v>
      </c>
      <c r="J84" s="143">
        <f>+'Tabel 2025 52 weken incl. 27'!J84</f>
        <v>0.79500000000000004</v>
      </c>
      <c r="K84" s="141"/>
      <c r="L84" s="295">
        <f t="shared" si="2"/>
        <v>3.2155499999999995</v>
      </c>
      <c r="M84" s="294"/>
      <c r="N84" s="295">
        <f t="shared" si="3"/>
        <v>3.0315999999999996</v>
      </c>
    </row>
    <row r="85" spans="1:14" ht="15">
      <c r="A85" s="256">
        <f>+'Tabel 2025 52 weken incl. 27'!A85</f>
        <v>166706</v>
      </c>
      <c r="B85" s="256">
        <f>+'Tabel 2025 52 weken incl. 27'!B85</f>
        <v>170449</v>
      </c>
      <c r="D85" s="142">
        <f>+'Tabel 2025 52 weken incl. 27'!D85</f>
        <v>0.33300000000000002</v>
      </c>
      <c r="E85" s="140"/>
      <c r="F85" s="293">
        <f t="shared" si="0"/>
        <v>8.16357</v>
      </c>
      <c r="G85" s="292"/>
      <c r="H85" s="293">
        <f t="shared" si="1"/>
        <v>7.4298400000000004</v>
      </c>
      <c r="J85" s="143">
        <f>+'Tabel 2025 52 weken incl. 27'!J85</f>
        <v>0.78600000000000003</v>
      </c>
      <c r="K85" s="141"/>
      <c r="L85" s="295">
        <f t="shared" si="2"/>
        <v>3.3119399999999994</v>
      </c>
      <c r="M85" s="294"/>
      <c r="N85" s="295">
        <f t="shared" si="3"/>
        <v>3.1172799999999996</v>
      </c>
    </row>
    <row r="86" spans="1:14" ht="15">
      <c r="A86" s="256">
        <f>+'Tabel 2025 52 weken incl. 27'!A86</f>
        <v>170450</v>
      </c>
      <c r="B86" s="256">
        <f>+'Tabel 2025 52 weken incl. 27'!B86</f>
        <v>174186</v>
      </c>
      <c r="D86" s="142">
        <f>+'Tabel 2025 52 weken incl. 27'!D86</f>
        <v>0.33300000000000002</v>
      </c>
      <c r="E86" s="140"/>
      <c r="F86" s="293">
        <f t="shared" si="0"/>
        <v>8.16357</v>
      </c>
      <c r="G86" s="292"/>
      <c r="H86" s="293">
        <f t="shared" si="1"/>
        <v>7.4298400000000004</v>
      </c>
      <c r="J86" s="143">
        <f>+'Tabel 2025 52 weken incl. 27'!J86</f>
        <v>0.78</v>
      </c>
      <c r="K86" s="141"/>
      <c r="L86" s="295">
        <f t="shared" si="2"/>
        <v>3.3761999999999994</v>
      </c>
      <c r="M86" s="294"/>
      <c r="N86" s="295">
        <f t="shared" si="3"/>
        <v>3.1743999999999999</v>
      </c>
    </row>
    <row r="87" spans="1:14" ht="15">
      <c r="A87" s="256">
        <f>+'Tabel 2025 52 weken incl. 27'!A87</f>
        <v>174187</v>
      </c>
      <c r="B87" s="256">
        <f>+'Tabel 2025 52 weken incl. 27'!B87</f>
        <v>177926</v>
      </c>
      <c r="D87" s="142">
        <f>+'Tabel 2025 52 weken incl. 27'!D87</f>
        <v>0.33300000000000002</v>
      </c>
      <c r="E87" s="140"/>
      <c r="F87" s="293">
        <f t="shared" si="0"/>
        <v>8.16357</v>
      </c>
      <c r="G87" s="292"/>
      <c r="H87" s="293">
        <f t="shared" si="1"/>
        <v>7.4298400000000004</v>
      </c>
      <c r="J87" s="143">
        <f>+'Tabel 2025 52 weken incl. 27'!J87</f>
        <v>0.77100000000000002</v>
      </c>
      <c r="K87" s="141"/>
      <c r="L87" s="295">
        <f t="shared" si="2"/>
        <v>3.4725899999999994</v>
      </c>
      <c r="M87" s="294"/>
      <c r="N87" s="295">
        <f t="shared" si="3"/>
        <v>3.2600799999999999</v>
      </c>
    </row>
    <row r="88" spans="1:14" ht="15">
      <c r="A88" s="256">
        <f>+'Tabel 2025 52 weken incl. 27'!A88</f>
        <v>177927</v>
      </c>
      <c r="B88" s="256">
        <f>+'Tabel 2025 52 weken incl. 27'!B88</f>
        <v>181663</v>
      </c>
      <c r="D88" s="142">
        <f>+'Tabel 2025 52 weken incl. 27'!D88</f>
        <v>0.33300000000000002</v>
      </c>
      <c r="E88" s="140"/>
      <c r="F88" s="293">
        <f t="shared" si="0"/>
        <v>8.16357</v>
      </c>
      <c r="G88" s="292"/>
      <c r="H88" s="293">
        <f t="shared" si="1"/>
        <v>7.4298400000000004</v>
      </c>
      <c r="J88" s="143">
        <f>+'Tabel 2025 52 weken incl. 27'!J88</f>
        <v>0.76600000000000001</v>
      </c>
      <c r="K88" s="141"/>
      <c r="L88" s="295">
        <f t="shared" si="2"/>
        <v>3.5261399999999998</v>
      </c>
      <c r="M88" s="294"/>
      <c r="N88" s="295">
        <f t="shared" si="3"/>
        <v>3.30768</v>
      </c>
    </row>
    <row r="89" spans="1:14" ht="15">
      <c r="A89" s="256">
        <f>+'Tabel 2025 52 weken incl. 27'!A89</f>
        <v>181664</v>
      </c>
      <c r="B89" s="256">
        <f>+'Tabel 2025 52 weken incl. 27'!B89</f>
        <v>185406</v>
      </c>
      <c r="D89" s="142">
        <f>+'Tabel 2025 52 weken incl. 27'!D89</f>
        <v>0.33300000000000002</v>
      </c>
      <c r="E89" s="140"/>
      <c r="F89" s="293">
        <f t="shared" si="0"/>
        <v>8.16357</v>
      </c>
      <c r="G89" s="292"/>
      <c r="H89" s="293">
        <f t="shared" si="1"/>
        <v>7.4298400000000004</v>
      </c>
      <c r="J89" s="143">
        <f>+'Tabel 2025 52 weken incl. 27'!J89</f>
        <v>0.75800000000000001</v>
      </c>
      <c r="K89" s="141"/>
      <c r="L89" s="295">
        <f t="shared" si="2"/>
        <v>3.6118199999999998</v>
      </c>
      <c r="M89" s="294"/>
      <c r="N89" s="295">
        <f t="shared" si="3"/>
        <v>3.3838399999999997</v>
      </c>
    </row>
    <row r="90" spans="1:14" ht="15">
      <c r="A90" s="256">
        <f>+'Tabel 2025 52 weken incl. 27'!A90</f>
        <v>185407</v>
      </c>
      <c r="B90" s="256">
        <f>+'Tabel 2025 52 weken incl. 27'!B90</f>
        <v>189147</v>
      </c>
      <c r="D90" s="142">
        <f>+'Tabel 2025 52 weken incl. 27'!D90</f>
        <v>0.33300000000000002</v>
      </c>
      <c r="E90" s="140"/>
      <c r="F90" s="293">
        <f t="shared" si="0"/>
        <v>8.16357</v>
      </c>
      <c r="G90" s="292"/>
      <c r="H90" s="293">
        <f t="shared" si="1"/>
        <v>7.4298400000000004</v>
      </c>
      <c r="J90" s="143">
        <f>+'Tabel 2025 52 weken incl. 27'!J90</f>
        <v>0.751</v>
      </c>
      <c r="K90" s="141"/>
      <c r="L90" s="295">
        <f t="shared" si="2"/>
        <v>3.6867899999999998</v>
      </c>
      <c r="M90" s="294"/>
      <c r="N90" s="295">
        <f t="shared" si="3"/>
        <v>3.4504799999999998</v>
      </c>
    </row>
    <row r="91" spans="1:14" ht="15">
      <c r="A91" s="256">
        <f>+'Tabel 2025 52 weken incl. 27'!A91</f>
        <v>189148</v>
      </c>
      <c r="B91" s="256">
        <f>+'Tabel 2025 52 weken incl. 27'!B91</f>
        <v>192888</v>
      </c>
      <c r="D91" s="142">
        <f>+'Tabel 2025 52 weken incl. 27'!D91</f>
        <v>0.33300000000000002</v>
      </c>
      <c r="E91" s="140"/>
      <c r="F91" s="293">
        <f t="shared" si="0"/>
        <v>8.16357</v>
      </c>
      <c r="G91" s="292"/>
      <c r="H91" s="293">
        <f t="shared" si="1"/>
        <v>7.4298400000000004</v>
      </c>
      <c r="J91" s="143">
        <f>+'Tabel 2025 52 weken incl. 27'!J91</f>
        <v>0.74399999999999999</v>
      </c>
      <c r="K91" s="141"/>
      <c r="L91" s="295">
        <f t="shared" si="2"/>
        <v>3.7617599999999998</v>
      </c>
      <c r="M91" s="294"/>
      <c r="N91" s="295">
        <f t="shared" si="3"/>
        <v>3.5171199999999998</v>
      </c>
    </row>
    <row r="92" spans="1:14" ht="15">
      <c r="A92" s="256">
        <f>+'Tabel 2025 52 weken incl. 27'!A92</f>
        <v>192889</v>
      </c>
      <c r="B92" s="256">
        <f>+'Tabel 2025 52 weken incl. 27'!B92</f>
        <v>196627</v>
      </c>
      <c r="D92" s="142">
        <f>+'Tabel 2025 52 weken incl. 27'!D92</f>
        <v>0.33300000000000002</v>
      </c>
      <c r="E92" s="140"/>
      <c r="F92" s="293">
        <f t="shared" si="0"/>
        <v>8.16357</v>
      </c>
      <c r="G92" s="292"/>
      <c r="H92" s="293">
        <f t="shared" si="1"/>
        <v>7.4298400000000004</v>
      </c>
      <c r="J92" s="143">
        <f>+'Tabel 2025 52 weken incl. 27'!J92</f>
        <v>0.73399999999999999</v>
      </c>
      <c r="K92" s="141"/>
      <c r="L92" s="295">
        <f t="shared" si="2"/>
        <v>3.8688599999999997</v>
      </c>
      <c r="M92" s="294"/>
      <c r="N92" s="295">
        <f t="shared" si="3"/>
        <v>3.61232</v>
      </c>
    </row>
    <row r="93" spans="1:14" ht="15">
      <c r="A93" s="256">
        <f>+'Tabel 2025 52 weken incl. 27'!A93</f>
        <v>196628</v>
      </c>
      <c r="B93" s="256">
        <f>+'Tabel 2025 52 weken incl. 27'!B93</f>
        <v>200363</v>
      </c>
      <c r="D93" s="142">
        <f>+'Tabel 2025 52 weken incl. 27'!D93</f>
        <v>0.33300000000000002</v>
      </c>
      <c r="E93" s="140"/>
      <c r="F93" s="293">
        <f t="shared" si="0"/>
        <v>8.16357</v>
      </c>
      <c r="G93" s="292"/>
      <c r="H93" s="293">
        <f t="shared" si="1"/>
        <v>7.4298400000000004</v>
      </c>
      <c r="J93" s="143">
        <f>+'Tabel 2025 52 weken incl. 27'!J93</f>
        <v>0.72899999999999998</v>
      </c>
      <c r="K93" s="141"/>
      <c r="L93" s="295">
        <f t="shared" si="2"/>
        <v>3.9224100000000002</v>
      </c>
      <c r="M93" s="294"/>
      <c r="N93" s="295">
        <f t="shared" si="3"/>
        <v>3.6599200000000001</v>
      </c>
    </row>
    <row r="94" spans="1:14" ht="15">
      <c r="A94" s="256">
        <f>+'Tabel 2025 52 weken incl. 27'!A94</f>
        <v>200364</v>
      </c>
      <c r="B94" s="256">
        <f>+'Tabel 2025 52 weken incl. 27'!B94</f>
        <v>204107</v>
      </c>
      <c r="D94" s="142">
        <f>+'Tabel 2025 52 weken incl. 27'!D94</f>
        <v>0.33300000000000002</v>
      </c>
      <c r="E94" s="140"/>
      <c r="F94" s="293">
        <f t="shared" si="0"/>
        <v>8.16357</v>
      </c>
      <c r="G94" s="292"/>
      <c r="H94" s="293">
        <f t="shared" si="1"/>
        <v>7.4298400000000004</v>
      </c>
      <c r="J94" s="143">
        <f>+'Tabel 2025 52 weken incl. 27'!J94</f>
        <v>0.72199999999999998</v>
      </c>
      <c r="K94" s="141"/>
      <c r="L94" s="295">
        <f t="shared" si="2"/>
        <v>3.9973800000000002</v>
      </c>
      <c r="M94" s="294"/>
      <c r="N94" s="295">
        <f t="shared" si="3"/>
        <v>3.7265600000000001</v>
      </c>
    </row>
    <row r="95" spans="1:14" ht="15">
      <c r="A95" s="256">
        <f>+'Tabel 2025 52 weken incl. 27'!A95</f>
        <v>204108</v>
      </c>
      <c r="B95" s="256">
        <f>+'Tabel 2025 52 weken incl. 27'!B95</f>
        <v>207845</v>
      </c>
      <c r="D95" s="142">
        <f>+'Tabel 2025 52 weken incl. 27'!D95</f>
        <v>0.33300000000000002</v>
      </c>
      <c r="E95" s="140"/>
      <c r="F95" s="293">
        <f t="shared" si="0"/>
        <v>8.16357</v>
      </c>
      <c r="G95" s="292"/>
      <c r="H95" s="293">
        <f t="shared" si="1"/>
        <v>7.4298400000000004</v>
      </c>
      <c r="J95" s="143">
        <f>+'Tabel 2025 52 weken incl. 27'!J95</f>
        <v>0.71399999999999997</v>
      </c>
      <c r="K95" s="141"/>
      <c r="L95" s="295">
        <f t="shared" si="2"/>
        <v>4.0830599999999997</v>
      </c>
      <c r="M95" s="294"/>
      <c r="N95" s="295">
        <f t="shared" si="3"/>
        <v>3.8027200000000003</v>
      </c>
    </row>
    <row r="96" spans="1:14" ht="15">
      <c r="A96" s="256">
        <f>+'Tabel 2025 52 weken incl. 27'!A96</f>
        <v>207846</v>
      </c>
      <c r="B96" s="256">
        <f>+'Tabel 2025 52 weken incl. 27'!B96</f>
        <v>211586</v>
      </c>
      <c r="D96" s="142">
        <f>+'Tabel 2025 52 weken incl. 27'!D96</f>
        <v>0.33300000000000002</v>
      </c>
      <c r="E96" s="140"/>
      <c r="F96" s="293">
        <f t="shared" si="0"/>
        <v>8.16357</v>
      </c>
      <c r="G96" s="292"/>
      <c r="H96" s="293">
        <f t="shared" si="1"/>
        <v>7.4298400000000004</v>
      </c>
      <c r="J96" s="143">
        <f>+'Tabel 2025 52 weken incl. 27'!J96</f>
        <v>0.70699999999999996</v>
      </c>
      <c r="K96" s="141"/>
      <c r="L96" s="295">
        <f t="shared" si="2"/>
        <v>4.1580300000000001</v>
      </c>
      <c r="M96" s="294"/>
      <c r="N96" s="295">
        <f t="shared" si="3"/>
        <v>3.8693600000000004</v>
      </c>
    </row>
    <row r="97" spans="1:14" ht="15">
      <c r="A97" s="256">
        <f>+'Tabel 2025 52 weken incl. 27'!A97</f>
        <v>211587</v>
      </c>
      <c r="B97" s="256">
        <f>+'Tabel 2025 52 weken incl. 27'!B97</f>
        <v>215327</v>
      </c>
      <c r="D97" s="142">
        <f>+'Tabel 2025 52 weken incl. 27'!D97</f>
        <v>0.33300000000000002</v>
      </c>
      <c r="E97" s="140"/>
      <c r="F97" s="293">
        <f t="shared" si="0"/>
        <v>8.16357</v>
      </c>
      <c r="G97" s="292"/>
      <c r="H97" s="293">
        <f t="shared" si="1"/>
        <v>7.4298400000000004</v>
      </c>
      <c r="J97" s="143">
        <f>+'Tabel 2025 52 weken incl. 27'!J97</f>
        <v>0.70099999999999996</v>
      </c>
      <c r="K97" s="141"/>
      <c r="L97" s="295">
        <f t="shared" si="2"/>
        <v>4.2222900000000001</v>
      </c>
      <c r="M97" s="294"/>
      <c r="N97" s="295">
        <f t="shared" si="3"/>
        <v>3.9264800000000002</v>
      </c>
    </row>
    <row r="98" spans="1:14" ht="15">
      <c r="A98" s="256">
        <f>+'Tabel 2025 52 weken incl. 27'!A98</f>
        <v>215328</v>
      </c>
      <c r="B98" s="256">
        <f>+'Tabel 2025 52 weken incl. 27'!B98</f>
        <v>219065</v>
      </c>
      <c r="D98" s="142">
        <f>+'Tabel 2025 52 weken incl. 27'!D98</f>
        <v>0.33300000000000002</v>
      </c>
      <c r="E98" s="140"/>
      <c r="F98" s="293">
        <f t="shared" ref="F98:F101" si="4">IF($D$19&gt;=$F$28,($F$28*(100%-D98))+($F$19),$D$19*(100%-D98)+$F$19)</f>
        <v>8.16357</v>
      </c>
      <c r="G98" s="292"/>
      <c r="H98" s="293">
        <f t="shared" ref="H98:H101" si="5">IF($D$20&gt;=$H$28,($H$28*(100%-D98))+($F$20),$D$20*(100%-D98)+($F$20))</f>
        <v>7.4298400000000004</v>
      </c>
      <c r="J98" s="143">
        <f>+'Tabel 2025 52 weken incl. 27'!J98</f>
        <v>0.69299999999999995</v>
      </c>
      <c r="K98" s="141"/>
      <c r="L98" s="295">
        <f t="shared" ref="L98:L101" si="6">IF($D$19&gt;=$L$28,($L$28*(100%-J98))+(F$19),$D$19*(100%-J98)+$F$19)</f>
        <v>4.307970000000001</v>
      </c>
      <c r="M98" s="294"/>
      <c r="N98" s="295">
        <f t="shared" ref="N98:N101" si="7">IF($D$20&gt;=$H$28,($H$28*(100%-J98))+($F$20),$D$20*(100%-J98)+($F$20))</f>
        <v>4.0026400000000004</v>
      </c>
    </row>
    <row r="99" spans="1:14" ht="15">
      <c r="A99" s="256">
        <f>+'Tabel 2025 52 weken incl. 27'!A99</f>
        <v>219066</v>
      </c>
      <c r="B99" s="256">
        <f>+'Tabel 2025 52 weken incl. 27'!B99</f>
        <v>222806</v>
      </c>
      <c r="D99" s="142">
        <f>+'Tabel 2025 52 weken incl. 27'!D99</f>
        <v>0.33300000000000002</v>
      </c>
      <c r="E99" s="140"/>
      <c r="F99" s="293">
        <f t="shared" si="4"/>
        <v>8.16357</v>
      </c>
      <c r="G99" s="292"/>
      <c r="H99" s="293">
        <f t="shared" si="5"/>
        <v>7.4298400000000004</v>
      </c>
      <c r="J99" s="143">
        <f>+'Tabel 2025 52 weken incl. 27'!J99</f>
        <v>0.68500000000000005</v>
      </c>
      <c r="K99" s="141"/>
      <c r="L99" s="295">
        <f t="shared" si="6"/>
        <v>4.3936499999999992</v>
      </c>
      <c r="M99" s="294"/>
      <c r="N99" s="295">
        <f t="shared" si="7"/>
        <v>4.0787999999999993</v>
      </c>
    </row>
    <row r="100" spans="1:14" ht="15">
      <c r="A100" s="256">
        <f>+'Tabel 2025 52 weken incl. 27'!A100</f>
        <v>222807</v>
      </c>
      <c r="B100" s="256">
        <f>+'Tabel 2025 52 weken incl. 27'!B100</f>
        <v>226545</v>
      </c>
      <c r="D100" s="142">
        <f>+'Tabel 2025 52 weken incl. 27'!D100</f>
        <v>0.33300000000000002</v>
      </c>
      <c r="E100" s="140"/>
      <c r="F100" s="293">
        <f t="shared" si="4"/>
        <v>8.16357</v>
      </c>
      <c r="G100" s="292"/>
      <c r="H100" s="293">
        <f t="shared" si="5"/>
        <v>7.4298400000000004</v>
      </c>
      <c r="J100" s="143">
        <f>+'Tabel 2025 52 weken incl. 27'!J100</f>
        <v>0.68</v>
      </c>
      <c r="K100" s="141"/>
      <c r="L100" s="295">
        <f t="shared" si="6"/>
        <v>4.4471999999999987</v>
      </c>
      <c r="M100" s="294"/>
      <c r="N100" s="295">
        <f t="shared" si="7"/>
        <v>4.1263999999999994</v>
      </c>
    </row>
    <row r="101" spans="1:14" ht="15">
      <c r="A101" s="256">
        <f>+'Tabel 2025 52 weken incl. 27'!A101</f>
        <v>226546</v>
      </c>
      <c r="B101" s="256" t="str">
        <f>+'Tabel 2025 52 weken incl. 27'!B101</f>
        <v>en hoger</v>
      </c>
      <c r="D101" s="142">
        <f>+'Tabel 2025 52 weken incl. 27'!D101</f>
        <v>0.33300000000000002</v>
      </c>
      <c r="E101" s="140"/>
      <c r="F101" s="293">
        <f t="shared" si="4"/>
        <v>8.16357</v>
      </c>
      <c r="G101" s="292"/>
      <c r="H101" s="293">
        <f t="shared" si="5"/>
        <v>7.4298400000000004</v>
      </c>
      <c r="J101" s="143">
        <f>'Tabel 2025 52 weken'!J101</f>
        <v>0.67100000000000004</v>
      </c>
      <c r="K101" s="141"/>
      <c r="L101" s="295">
        <f t="shared" si="6"/>
        <v>4.54359</v>
      </c>
      <c r="M101" s="294"/>
      <c r="N101" s="295">
        <f t="shared" si="7"/>
        <v>4.2120799999999994</v>
      </c>
    </row>
    <row r="103" spans="1:14">
      <c r="F103" s="80">
        <f>SUM(F33:F101)</f>
        <v>326.64887999999985</v>
      </c>
      <c r="H103" s="80">
        <f>SUM(H33:H101)</f>
        <v>302.31456000000026</v>
      </c>
      <c r="J103" s="80"/>
      <c r="L103" s="80">
        <f>SUM(L33:L101)</f>
        <v>169.73666999999998</v>
      </c>
      <c r="N103" s="80">
        <f>SUM(N33:N101)</f>
        <v>162.83704000000003</v>
      </c>
    </row>
    <row r="104" spans="1:14">
      <c r="A104" s="321">
        <f>+SUM(A33:B101)+SUM(D33:D101)+SUM(J33:J101)</f>
        <v>14882092.795</v>
      </c>
      <c r="B104" s="321"/>
    </row>
    <row r="105" spans="1:14">
      <c r="A105" s="107"/>
    </row>
    <row r="106" spans="1:14">
      <c r="A106" s="107"/>
    </row>
    <row r="110" spans="1:14" ht="15.75">
      <c r="A110" s="136"/>
      <c r="B110" s="137"/>
      <c r="C110" s="135"/>
      <c r="D110" s="135"/>
    </row>
    <row r="111" spans="1:14" ht="15.75">
      <c r="A111" s="137"/>
      <c r="B111" s="137"/>
      <c r="C111" s="135"/>
      <c r="D111" s="135"/>
    </row>
    <row r="112" spans="1:14" ht="15.75">
      <c r="A112" s="137"/>
      <c r="B112" s="137"/>
      <c r="C112" s="135"/>
      <c r="D112" s="135"/>
    </row>
    <row r="113" spans="1:10" ht="15.75">
      <c r="A113" s="137"/>
      <c r="B113" s="137"/>
      <c r="C113" s="135"/>
      <c r="D113" s="135"/>
    </row>
    <row r="114" spans="1:10" ht="15.75">
      <c r="A114" s="137"/>
      <c r="B114" s="137"/>
      <c r="C114" s="135"/>
      <c r="D114" s="135"/>
    </row>
    <row r="115" spans="1:10" ht="15.75">
      <c r="A115" s="137"/>
      <c r="B115" s="137"/>
      <c r="C115" s="135"/>
      <c r="D115" s="135"/>
      <c r="F115"/>
      <c r="H115"/>
      <c r="J115"/>
    </row>
    <row r="116" spans="1:10" ht="15.75">
      <c r="A116" s="137"/>
      <c r="B116" s="137"/>
      <c r="C116" s="135"/>
      <c r="D116" s="135"/>
      <c r="F116"/>
      <c r="H116"/>
      <c r="J116"/>
    </row>
    <row r="117" spans="1:10" ht="15.75">
      <c r="A117" s="137"/>
      <c r="B117" s="137"/>
      <c r="C117" s="135"/>
      <c r="D117" s="135"/>
      <c r="F117"/>
      <c r="H117"/>
      <c r="J117"/>
    </row>
    <row r="118" spans="1:10" ht="15.75">
      <c r="A118" s="137"/>
      <c r="B118" s="137"/>
      <c r="C118" s="135"/>
      <c r="D118" s="135"/>
      <c r="F118"/>
      <c r="H118"/>
      <c r="J118"/>
    </row>
    <row r="119" spans="1:10" ht="15.75">
      <c r="A119" s="137"/>
      <c r="B119" s="137"/>
      <c r="C119" s="135"/>
      <c r="D119" s="135"/>
      <c r="F119"/>
      <c r="H119"/>
      <c r="J119"/>
    </row>
    <row r="120" spans="1:10" ht="15.75">
      <c r="A120" s="137"/>
      <c r="B120" s="137"/>
      <c r="C120" s="135"/>
      <c r="D120" s="135"/>
      <c r="F120"/>
      <c r="H120"/>
      <c r="J120"/>
    </row>
    <row r="121" spans="1:10" ht="15.75">
      <c r="A121" s="137"/>
      <c r="B121" s="137"/>
      <c r="C121" s="135"/>
      <c r="D121" s="135"/>
      <c r="F121"/>
      <c r="H121"/>
      <c r="J121"/>
    </row>
    <row r="122" spans="1:10" ht="15.75">
      <c r="A122" s="137"/>
      <c r="B122" s="137"/>
      <c r="C122" s="135"/>
      <c r="D122" s="135"/>
      <c r="F122"/>
      <c r="H122"/>
      <c r="J122"/>
    </row>
    <row r="123" spans="1:10" ht="15.75">
      <c r="A123" s="137"/>
      <c r="B123" s="137"/>
      <c r="C123" s="135"/>
      <c r="D123" s="135"/>
      <c r="F123"/>
      <c r="H123"/>
      <c r="J123"/>
    </row>
    <row r="124" spans="1:10" ht="15.75">
      <c r="A124" s="137"/>
      <c r="B124" s="137"/>
      <c r="C124" s="135"/>
      <c r="D124" s="135"/>
      <c r="F124"/>
      <c r="H124"/>
      <c r="J124"/>
    </row>
    <row r="125" spans="1:10" ht="15.75">
      <c r="A125" s="137"/>
      <c r="B125" s="137"/>
      <c r="C125" s="135"/>
      <c r="D125" s="135"/>
      <c r="F125"/>
      <c r="H125"/>
      <c r="J125"/>
    </row>
    <row r="126" spans="1:10" ht="15.75">
      <c r="A126" s="137"/>
      <c r="B126" s="137"/>
      <c r="C126" s="135"/>
      <c r="D126" s="135"/>
      <c r="F126"/>
      <c r="H126"/>
      <c r="J126"/>
    </row>
    <row r="127" spans="1:10" ht="15.75">
      <c r="A127" s="137"/>
      <c r="B127" s="137"/>
      <c r="C127" s="135"/>
      <c r="D127" s="135"/>
      <c r="F127"/>
      <c r="H127"/>
      <c r="J127"/>
    </row>
    <row r="128" spans="1:10" ht="15.75">
      <c r="A128" s="137"/>
      <c r="B128" s="137"/>
      <c r="C128" s="135"/>
      <c r="D128" s="135"/>
      <c r="F128"/>
      <c r="H128"/>
      <c r="J128"/>
    </row>
    <row r="129" spans="1:10" ht="15.75">
      <c r="A129" s="137"/>
      <c r="B129" s="137"/>
      <c r="C129" s="135"/>
      <c r="D129" s="135"/>
      <c r="F129"/>
      <c r="H129"/>
      <c r="J129"/>
    </row>
    <row r="130" spans="1:10" ht="15.75">
      <c r="A130" s="137"/>
      <c r="B130" s="137"/>
      <c r="C130" s="135"/>
      <c r="D130" s="135"/>
      <c r="F130"/>
      <c r="H130"/>
      <c r="J130"/>
    </row>
    <row r="131" spans="1:10" ht="15.75">
      <c r="A131" s="137"/>
      <c r="B131" s="137"/>
      <c r="C131" s="135"/>
      <c r="D131" s="135"/>
      <c r="F131"/>
      <c r="H131"/>
      <c r="J131"/>
    </row>
    <row r="132" spans="1:10" ht="15.75">
      <c r="A132" s="137"/>
      <c r="B132" s="137"/>
      <c r="C132" s="135"/>
      <c r="D132" s="135"/>
      <c r="F132"/>
      <c r="H132"/>
      <c r="J132"/>
    </row>
    <row r="133" spans="1:10" ht="15.75">
      <c r="A133" s="137"/>
      <c r="B133" s="137"/>
      <c r="C133" s="135"/>
      <c r="D133" s="135"/>
      <c r="F133"/>
      <c r="H133"/>
      <c r="J133"/>
    </row>
    <row r="134" spans="1:10" ht="15.75">
      <c r="A134" s="137"/>
      <c r="B134" s="137"/>
      <c r="C134" s="135"/>
      <c r="D134" s="135"/>
      <c r="F134"/>
      <c r="H134"/>
      <c r="J134"/>
    </row>
    <row r="135" spans="1:10" ht="15.75">
      <c r="A135" s="137"/>
      <c r="B135" s="137"/>
      <c r="C135" s="135"/>
      <c r="D135" s="135"/>
      <c r="F135"/>
      <c r="H135"/>
      <c r="J135"/>
    </row>
    <row r="136" spans="1:10" ht="15.75">
      <c r="A136" s="137"/>
      <c r="B136" s="137"/>
      <c r="C136" s="135"/>
      <c r="D136" s="135"/>
      <c r="F136"/>
      <c r="H136"/>
      <c r="J136"/>
    </row>
    <row r="137" spans="1:10" ht="15.75">
      <c r="A137" s="137"/>
      <c r="B137" s="137"/>
      <c r="C137" s="135"/>
      <c r="D137" s="135"/>
      <c r="F137"/>
      <c r="H137"/>
      <c r="J137"/>
    </row>
    <row r="138" spans="1:10" ht="15.75">
      <c r="A138" s="137"/>
      <c r="B138" s="137"/>
      <c r="C138" s="135"/>
      <c r="D138" s="135"/>
      <c r="F138"/>
      <c r="H138"/>
      <c r="J138"/>
    </row>
    <row r="139" spans="1:10" ht="15.75">
      <c r="A139" s="137"/>
      <c r="B139" s="137"/>
      <c r="C139" s="135"/>
      <c r="D139" s="135"/>
      <c r="F139"/>
      <c r="H139"/>
      <c r="J139"/>
    </row>
    <row r="140" spans="1:10" ht="15.75">
      <c r="A140" s="137"/>
      <c r="B140" s="137"/>
      <c r="C140" s="135"/>
      <c r="D140" s="135"/>
      <c r="F140"/>
      <c r="H140"/>
      <c r="J140"/>
    </row>
    <row r="141" spans="1:10" ht="15.75">
      <c r="A141" s="137"/>
      <c r="B141" s="137"/>
      <c r="C141" s="135"/>
      <c r="D141" s="135"/>
      <c r="F141"/>
      <c r="H141"/>
      <c r="J141"/>
    </row>
    <row r="142" spans="1:10" ht="15.75">
      <c r="A142" s="137"/>
      <c r="B142" s="137"/>
      <c r="C142" s="135"/>
      <c r="D142" s="135"/>
      <c r="F142"/>
      <c r="H142"/>
      <c r="J142"/>
    </row>
    <row r="143" spans="1:10" ht="15.75">
      <c r="A143" s="137"/>
      <c r="B143" s="137"/>
      <c r="C143" s="135"/>
      <c r="D143" s="135"/>
      <c r="F143"/>
      <c r="H143"/>
      <c r="J143"/>
    </row>
    <row r="144" spans="1:10" ht="15.75">
      <c r="A144" s="137"/>
      <c r="B144" s="137"/>
      <c r="C144" s="135"/>
      <c r="D144" s="135"/>
      <c r="F144"/>
      <c r="H144"/>
      <c r="J144"/>
    </row>
    <row r="145" spans="1:10" ht="15.75">
      <c r="A145" s="137"/>
      <c r="B145" s="137"/>
      <c r="C145" s="135"/>
      <c r="D145" s="135"/>
      <c r="F145"/>
      <c r="H145"/>
      <c r="J145"/>
    </row>
    <row r="146" spans="1:10" ht="15.75">
      <c r="A146" s="137"/>
      <c r="B146" s="137"/>
      <c r="C146" s="135"/>
      <c r="D146" s="135"/>
      <c r="F146"/>
      <c r="H146"/>
      <c r="J146"/>
    </row>
    <row r="147" spans="1:10" ht="15.75">
      <c r="A147" s="137"/>
      <c r="B147" s="137"/>
      <c r="C147" s="135"/>
      <c r="D147" s="135"/>
      <c r="F147"/>
      <c r="H147"/>
      <c r="J147"/>
    </row>
    <row r="148" spans="1:10" ht="15.75">
      <c r="A148" s="137"/>
      <c r="B148" s="137"/>
      <c r="C148" s="135"/>
      <c r="D148" s="135"/>
      <c r="F148"/>
      <c r="H148"/>
      <c r="J148"/>
    </row>
    <row r="149" spans="1:10" ht="15.75">
      <c r="A149" s="137"/>
      <c r="B149" s="137"/>
      <c r="C149" s="135"/>
      <c r="D149" s="135"/>
      <c r="F149"/>
      <c r="H149"/>
      <c r="J149"/>
    </row>
    <row r="150" spans="1:10" ht="15.75">
      <c r="A150" s="138"/>
      <c r="B150" s="139"/>
      <c r="C150" s="135"/>
      <c r="D150" s="135"/>
      <c r="F150"/>
      <c r="H150"/>
      <c r="J150"/>
    </row>
    <row r="151" spans="1:10" ht="15.75">
      <c r="A151" s="139"/>
      <c r="B151" s="139"/>
      <c r="C151" s="135"/>
      <c r="D151" s="135"/>
      <c r="F151"/>
      <c r="H151"/>
      <c r="J151"/>
    </row>
    <row r="152" spans="1:10" ht="15.75">
      <c r="A152" s="139"/>
      <c r="B152" s="139"/>
      <c r="C152" s="135"/>
      <c r="D152" s="135"/>
      <c r="F152"/>
      <c r="H152"/>
      <c r="J152"/>
    </row>
    <row r="153" spans="1:10" ht="15.75">
      <c r="A153" s="139"/>
      <c r="B153" s="139"/>
      <c r="C153" s="135"/>
      <c r="D153" s="135"/>
      <c r="F153"/>
      <c r="H153"/>
      <c r="J153"/>
    </row>
    <row r="154" spans="1:10" ht="15.75">
      <c r="A154" s="139"/>
      <c r="B154" s="139"/>
      <c r="C154" s="135"/>
      <c r="D154" s="135"/>
      <c r="F154"/>
      <c r="H154"/>
      <c r="J154"/>
    </row>
    <row r="155" spans="1:10" ht="15.75">
      <c r="A155" s="139"/>
      <c r="B155" s="139"/>
      <c r="C155" s="135"/>
      <c r="D155" s="135"/>
      <c r="F155"/>
      <c r="H155"/>
      <c r="J155"/>
    </row>
    <row r="156" spans="1:10" ht="15.75">
      <c r="A156" s="139"/>
      <c r="B156" s="139"/>
      <c r="C156" s="135"/>
      <c r="D156" s="135"/>
      <c r="F156"/>
      <c r="H156"/>
      <c r="J156"/>
    </row>
    <row r="157" spans="1:10" ht="15.75">
      <c r="A157" s="139"/>
      <c r="B157" s="139"/>
      <c r="C157" s="135"/>
      <c r="D157" s="135"/>
      <c r="F157"/>
      <c r="H157"/>
      <c r="J157"/>
    </row>
    <row r="158" spans="1:10" ht="15.75">
      <c r="A158" s="139"/>
      <c r="B158" s="139"/>
      <c r="C158" s="135"/>
      <c r="D158" s="135"/>
      <c r="F158"/>
      <c r="H158"/>
      <c r="J158"/>
    </row>
    <row r="159" spans="1:10" ht="15.75">
      <c r="A159" s="139"/>
      <c r="B159" s="139"/>
      <c r="C159" s="135"/>
      <c r="D159" s="135"/>
      <c r="F159"/>
      <c r="H159"/>
      <c r="J159"/>
    </row>
    <row r="160" spans="1:10" ht="15.75">
      <c r="A160" s="139"/>
      <c r="B160" s="139"/>
      <c r="C160" s="135"/>
      <c r="D160" s="135"/>
      <c r="F160"/>
      <c r="H160"/>
      <c r="J160"/>
    </row>
    <row r="161" spans="1:10" ht="15.75">
      <c r="A161" s="139"/>
      <c r="B161" s="139"/>
      <c r="C161" s="135"/>
      <c r="D161" s="135"/>
      <c r="F161"/>
      <c r="H161"/>
      <c r="J161"/>
    </row>
    <row r="162" spans="1:10" ht="15.75">
      <c r="A162" s="139"/>
      <c r="B162" s="139"/>
      <c r="C162" s="135"/>
      <c r="D162" s="135"/>
      <c r="F162"/>
      <c r="H162"/>
      <c r="J162"/>
    </row>
    <row r="163" spans="1:10" ht="15.75">
      <c r="A163" s="139"/>
      <c r="B163" s="139"/>
      <c r="C163" s="135"/>
      <c r="D163" s="135"/>
      <c r="F163"/>
      <c r="H163"/>
      <c r="J163"/>
    </row>
    <row r="164" spans="1:10" ht="15.75">
      <c r="A164" s="139"/>
      <c r="B164" s="139"/>
      <c r="C164" s="135"/>
      <c r="D164" s="135"/>
      <c r="F164"/>
      <c r="H164"/>
      <c r="J164"/>
    </row>
    <row r="165" spans="1:10" ht="15.75">
      <c r="A165" s="139"/>
      <c r="B165" s="139"/>
      <c r="C165" s="135"/>
      <c r="D165" s="135"/>
      <c r="F165"/>
      <c r="H165"/>
      <c r="J165"/>
    </row>
    <row r="166" spans="1:10" ht="15.75">
      <c r="A166" s="139"/>
      <c r="B166" s="139"/>
      <c r="C166" s="135"/>
      <c r="D166" s="135"/>
      <c r="F166"/>
      <c r="H166"/>
      <c r="J166"/>
    </row>
    <row r="167" spans="1:10" ht="15.75">
      <c r="A167" s="139"/>
      <c r="B167" s="138"/>
      <c r="C167" s="135"/>
      <c r="D167" s="135"/>
      <c r="F167"/>
      <c r="H167"/>
      <c r="J167"/>
    </row>
    <row r="168" spans="1:10" ht="15.75">
      <c r="A168" s="139"/>
      <c r="B168" s="139"/>
      <c r="C168" s="135"/>
      <c r="D168" s="135"/>
      <c r="F168"/>
      <c r="H168"/>
      <c r="J168"/>
    </row>
    <row r="169" spans="1:10" ht="15.75">
      <c r="A169" s="139"/>
      <c r="B169" s="139"/>
      <c r="C169" s="135"/>
      <c r="D169" s="135"/>
      <c r="F169"/>
      <c r="H169"/>
      <c r="J169"/>
    </row>
    <row r="170" spans="1:10" ht="15.75">
      <c r="A170" s="139"/>
      <c r="B170" s="139"/>
      <c r="C170" s="135"/>
      <c r="D170" s="135"/>
      <c r="F170"/>
      <c r="H170"/>
      <c r="J170"/>
    </row>
    <row r="171" spans="1:10" ht="15.75">
      <c r="A171" s="139"/>
      <c r="B171" s="139"/>
      <c r="C171" s="135"/>
      <c r="D171" s="135"/>
      <c r="F171"/>
      <c r="H171"/>
      <c r="J171"/>
    </row>
    <row r="172" spans="1:10" ht="15.75">
      <c r="A172" s="139"/>
      <c r="B172" s="139"/>
      <c r="C172" s="135"/>
      <c r="D172" s="135"/>
      <c r="F172"/>
      <c r="H172"/>
      <c r="J172"/>
    </row>
    <row r="173" spans="1:10" ht="15.75">
      <c r="A173" s="139"/>
      <c r="B173" s="139"/>
      <c r="C173" s="135"/>
      <c r="D173" s="135"/>
      <c r="F173"/>
      <c r="H173"/>
      <c r="J173"/>
    </row>
    <row r="174" spans="1:10" ht="15.75">
      <c r="A174" s="139"/>
      <c r="B174" s="139"/>
      <c r="C174" s="135"/>
      <c r="D174" s="135"/>
      <c r="F174"/>
      <c r="H174"/>
      <c r="J174"/>
    </row>
    <row r="175" spans="1:10" ht="15.75">
      <c r="A175" s="139"/>
      <c r="B175" s="139"/>
      <c r="C175" s="135"/>
      <c r="D175" s="135"/>
      <c r="F175"/>
      <c r="H175"/>
      <c r="J175"/>
    </row>
    <row r="176" spans="1:10" ht="15.75">
      <c r="A176" s="139"/>
      <c r="B176" s="139"/>
      <c r="C176" s="135"/>
      <c r="D176" s="135"/>
      <c r="F176"/>
      <c r="H176"/>
      <c r="J176"/>
    </row>
    <row r="177" spans="1:10" ht="15.75">
      <c r="A177" s="139"/>
      <c r="B177" s="139"/>
      <c r="C177" s="135"/>
      <c r="D177" s="135"/>
      <c r="F177"/>
      <c r="H177"/>
      <c r="J177"/>
    </row>
    <row r="178" spans="1:10" ht="15.75">
      <c r="A178" s="139"/>
      <c r="B178" s="136"/>
      <c r="C178" s="135"/>
      <c r="D178" s="135"/>
      <c r="F178"/>
      <c r="H178"/>
      <c r="J178"/>
    </row>
  </sheetData>
  <mergeCells count="4">
    <mergeCell ref="A24:B24"/>
    <mergeCell ref="D24:H24"/>
    <mergeCell ref="J24:N24"/>
    <mergeCell ref="A104:B10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178"/>
  <sheetViews>
    <sheetView topLeftCell="A4" workbookViewId="0">
      <pane ySplit="13" topLeftCell="A95" activePane="bottomLeft" state="frozen"/>
      <selection pane="bottomLeft" activeCell="A4" sqref="A1:XFD1048576"/>
      <selection activeCell="A4" sqref="A4"/>
    </sheetView>
  </sheetViews>
  <sheetFormatPr defaultRowHeight="12.75"/>
  <cols>
    <col min="1" max="2" width="12" style="78" customWidth="1"/>
    <col min="3" max="3" width="2.7109375" customWidth="1"/>
    <col min="4" max="4" width="12" style="79" customWidth="1"/>
    <col min="5" max="5" width="2.7109375" customWidth="1"/>
    <col min="6" max="6" width="12" style="80" customWidth="1"/>
    <col min="7" max="7" width="2.7109375" customWidth="1"/>
    <col min="8" max="8" width="12" style="80" customWidth="1"/>
    <col min="9" max="9" width="2.7109375" customWidth="1"/>
    <col min="10" max="10" width="12" style="79" customWidth="1"/>
    <col min="11" max="11" width="2.7109375" customWidth="1"/>
    <col min="12" max="12" width="12" customWidth="1"/>
    <col min="13" max="13" width="2.7109375" customWidth="1"/>
    <col min="14" max="14" width="12" customWidth="1"/>
  </cols>
  <sheetData>
    <row r="1" spans="1:2" customFormat="1" ht="19.5">
      <c r="A1" s="75" t="s">
        <v>38</v>
      </c>
    </row>
    <row r="2" spans="1:2" customFormat="1">
      <c r="A2" t="s">
        <v>39</v>
      </c>
    </row>
    <row r="3" spans="1:2" customFormat="1"/>
    <row r="4" spans="1:2" customFormat="1"/>
    <row r="5" spans="1:2" customFormat="1" ht="14.25">
      <c r="A5" s="76" t="s">
        <v>40</v>
      </c>
    </row>
    <row r="6" spans="1:2" customFormat="1"/>
    <row r="7" spans="1:2" customFormat="1" ht="15">
      <c r="A7" s="77" t="s">
        <v>41</v>
      </c>
      <c r="B7" t="s">
        <v>42</v>
      </c>
    </row>
    <row r="8" spans="1:2" customFormat="1" ht="15">
      <c r="A8" s="77" t="s">
        <v>43</v>
      </c>
      <c r="B8" t="s">
        <v>44</v>
      </c>
    </row>
    <row r="9" spans="1:2" customFormat="1" ht="15">
      <c r="A9" s="77"/>
      <c r="B9" t="s">
        <v>45</v>
      </c>
    </row>
    <row r="10" spans="1:2" customFormat="1" ht="15">
      <c r="A10" s="77"/>
      <c r="B10" t="s">
        <v>46</v>
      </c>
    </row>
    <row r="11" spans="1:2" customFormat="1" ht="15">
      <c r="A11" s="77"/>
      <c r="B11" t="s">
        <v>47</v>
      </c>
    </row>
    <row r="12" spans="1:2" customFormat="1" ht="15">
      <c r="A12" s="77" t="s">
        <v>48</v>
      </c>
      <c r="B12" t="s">
        <v>49</v>
      </c>
    </row>
    <row r="13" spans="1:2" customFormat="1">
      <c r="B13" t="s">
        <v>45</v>
      </c>
    </row>
    <row r="14" spans="1:2" customFormat="1">
      <c r="B14" t="s">
        <v>46</v>
      </c>
    </row>
    <row r="15" spans="1:2" customFormat="1">
      <c r="B15" t="s">
        <v>47</v>
      </c>
    </row>
    <row r="16" spans="1:2" customFormat="1"/>
    <row r="17" spans="1:14">
      <c r="A17"/>
      <c r="B17"/>
      <c r="D17"/>
      <c r="F17"/>
      <c r="H17"/>
      <c r="J17"/>
    </row>
    <row r="18" spans="1:14">
      <c r="F18" s="80" t="s">
        <v>50</v>
      </c>
      <c r="J18" s="81"/>
    </row>
    <row r="19" spans="1:14">
      <c r="A19" s="80" t="s">
        <v>51</v>
      </c>
      <c r="D19" s="80">
        <f>+'Tabel 2025 52 weken'!$D$19</f>
        <v>10.71</v>
      </c>
      <c r="F19" s="236">
        <f>IF(F28-D19&gt;0,F28-D19,0)</f>
        <v>1.3299999999999983</v>
      </c>
      <c r="L19" s="82"/>
      <c r="N19" s="80"/>
    </row>
    <row r="20" spans="1:14">
      <c r="A20" s="80" t="s">
        <v>52</v>
      </c>
      <c r="D20" s="80">
        <f>+'Tabel 2025 52 weken'!$D$20</f>
        <v>9.52</v>
      </c>
      <c r="F20" s="236">
        <f>IF(H28-D20&gt;0,H28-D20,0)</f>
        <v>1.58</v>
      </c>
      <c r="N20" s="80"/>
    </row>
    <row r="21" spans="1:14">
      <c r="A21" s="80"/>
      <c r="D21" s="80"/>
      <c r="N21" s="80"/>
    </row>
    <row r="22" spans="1:14">
      <c r="A22" s="80"/>
      <c r="B22" s="245"/>
      <c r="D22" s="80"/>
      <c r="N22" s="80"/>
    </row>
    <row r="23" spans="1:14">
      <c r="A23" s="80"/>
      <c r="B23" s="246"/>
      <c r="D23" s="80"/>
      <c r="N23" s="80"/>
    </row>
    <row r="24" spans="1:14" ht="15">
      <c r="A24" s="322" t="s">
        <v>54</v>
      </c>
      <c r="B24" s="322"/>
      <c r="D24" s="319" t="s">
        <v>55</v>
      </c>
      <c r="E24" s="319"/>
      <c r="F24" s="319"/>
      <c r="G24" s="319"/>
      <c r="H24" s="319"/>
      <c r="I24" s="83"/>
      <c r="J24" s="320" t="s">
        <v>56</v>
      </c>
      <c r="K24" s="320"/>
      <c r="L24" s="320"/>
      <c r="M24" s="320"/>
      <c r="N24" s="320"/>
    </row>
    <row r="25" spans="1:14">
      <c r="A25" s="84" t="s">
        <v>57</v>
      </c>
      <c r="B25" s="84"/>
      <c r="D25" s="237" t="s">
        <v>58</v>
      </c>
      <c r="E25" s="85"/>
      <c r="F25" s="86"/>
      <c r="G25" s="85"/>
      <c r="H25" s="86"/>
      <c r="J25" s="238" t="s">
        <v>58</v>
      </c>
      <c r="K25" s="87"/>
      <c r="L25" s="87"/>
      <c r="M25" s="87"/>
      <c r="N25" s="87"/>
    </row>
    <row r="26" spans="1:14">
      <c r="A26" s="84" t="s">
        <v>59</v>
      </c>
      <c r="B26" s="84"/>
      <c r="D26" s="237" t="s">
        <v>60</v>
      </c>
      <c r="E26" s="85"/>
      <c r="F26" s="88" t="s">
        <v>61</v>
      </c>
      <c r="G26" s="89"/>
      <c r="H26" s="88" t="s">
        <v>62</v>
      </c>
      <c r="J26" s="238" t="s">
        <v>60</v>
      </c>
      <c r="K26" s="87"/>
      <c r="L26" s="90" t="s">
        <v>63</v>
      </c>
      <c r="M26" s="87"/>
      <c r="N26" s="90" t="s">
        <v>64</v>
      </c>
    </row>
    <row r="27" spans="1:14">
      <c r="A27" s="84"/>
      <c r="B27" s="84"/>
      <c r="D27" s="91"/>
      <c r="E27" s="85"/>
      <c r="F27" s="92" t="s">
        <v>66</v>
      </c>
      <c r="G27" s="93"/>
      <c r="H27" s="92" t="s">
        <v>67</v>
      </c>
      <c r="J27" s="94"/>
      <c r="K27" s="87"/>
      <c r="L27" s="95" t="s">
        <v>66</v>
      </c>
      <c r="M27" s="96"/>
      <c r="N27" s="95" t="s">
        <v>67</v>
      </c>
    </row>
    <row r="28" spans="1:14">
      <c r="A28" s="84"/>
      <c r="B28" s="84"/>
      <c r="D28" s="91"/>
      <c r="E28" s="85"/>
      <c r="F28" s="235">
        <v>12.04</v>
      </c>
      <c r="G28" s="93"/>
      <c r="H28" s="235">
        <v>11.1</v>
      </c>
      <c r="J28" s="94"/>
      <c r="K28" s="87"/>
      <c r="L28" s="97">
        <f>F28</f>
        <v>12.04</v>
      </c>
      <c r="M28" s="87"/>
      <c r="N28" s="97">
        <f>H28</f>
        <v>11.1</v>
      </c>
    </row>
    <row r="29" spans="1:14" ht="13.5" thickBot="1">
      <c r="A29" s="84"/>
      <c r="B29" s="84"/>
      <c r="D29" s="91"/>
      <c r="E29" s="85"/>
      <c r="F29" s="86"/>
      <c r="G29" s="85"/>
      <c r="H29" s="86"/>
      <c r="J29" s="94"/>
      <c r="K29" s="87"/>
      <c r="L29" s="87"/>
      <c r="M29" s="87"/>
      <c r="N29" s="87"/>
    </row>
    <row r="30" spans="1:14">
      <c r="A30" s="98" t="s">
        <v>3</v>
      </c>
      <c r="B30" s="98" t="s">
        <v>4</v>
      </c>
      <c r="D30" s="239" t="s">
        <v>69</v>
      </c>
      <c r="E30" s="85"/>
      <c r="F30" s="99" t="s">
        <v>70</v>
      </c>
      <c r="G30" s="85"/>
      <c r="H30" s="99" t="s">
        <v>70</v>
      </c>
      <c r="J30" s="240" t="s">
        <v>71</v>
      </c>
      <c r="K30" s="87"/>
      <c r="L30" s="100" t="s">
        <v>70</v>
      </c>
      <c r="M30" s="87"/>
      <c r="N30" s="100" t="s">
        <v>70</v>
      </c>
    </row>
    <row r="31" spans="1:14" ht="13.5" thickBot="1">
      <c r="A31" s="101"/>
      <c r="B31" s="101"/>
      <c r="D31" s="241" t="s">
        <v>72</v>
      </c>
      <c r="E31" s="85"/>
      <c r="F31" s="102" t="s">
        <v>73</v>
      </c>
      <c r="G31" s="85"/>
      <c r="H31" s="102" t="s">
        <v>73</v>
      </c>
      <c r="J31" s="242" t="s">
        <v>74</v>
      </c>
      <c r="K31" s="87"/>
      <c r="L31" s="103" t="s">
        <v>73</v>
      </c>
      <c r="M31" s="87"/>
      <c r="N31" s="103" t="s">
        <v>73</v>
      </c>
    </row>
    <row r="32" spans="1:14">
      <c r="A32" s="84"/>
      <c r="B32" s="84"/>
      <c r="D32" s="91"/>
      <c r="E32" s="85"/>
      <c r="F32" s="86"/>
      <c r="G32" s="85"/>
      <c r="H32" s="86"/>
      <c r="J32" s="94"/>
      <c r="K32" s="87"/>
      <c r="L32" s="87"/>
      <c r="M32" s="87"/>
      <c r="N32" s="87"/>
    </row>
    <row r="33" spans="1:24" ht="15">
      <c r="A33" s="199" t="str">
        <f>+'Tabel 2025 52 weken incl. 27'!A33</f>
        <v>lager dan</v>
      </c>
      <c r="B33" s="199">
        <f>+'Tabel 2025 52 weken incl. 27'!B33</f>
        <v>23211</v>
      </c>
      <c r="D33" s="142">
        <f>+'Tabel 2025 52 weken incl. 27'!D33</f>
        <v>0.96</v>
      </c>
      <c r="E33" s="140"/>
      <c r="F33" s="293">
        <f>IF($D$19&gt;=$F$28,($F$28*(100%-D33))+($F$19),$D$19*(100%-D33)+$F$19)</f>
        <v>1.7583999999999986</v>
      </c>
      <c r="G33" s="292"/>
      <c r="H33" s="293">
        <f>IF($D$20&gt;=$H$28,($H$28*(100%-D33))+($F$20),$D$20*(100%-D33)+($F$20))</f>
        <v>1.9608000000000003</v>
      </c>
      <c r="J33" s="143">
        <f>+'Tabel 2025 52 weken incl. 27'!J33</f>
        <v>0.96</v>
      </c>
      <c r="K33" s="141"/>
      <c r="L33" s="295">
        <f>IF($D$19&gt;=$L$28,($L$28*(100%-J33))+(F$19),$D$19*(100%-J33)+$F$19)</f>
        <v>1.7583999999999986</v>
      </c>
      <c r="M33" s="294"/>
      <c r="N33" s="295">
        <f>IF($D$20&gt;=$H$28,($H$28*(100%-J33))+($F$20),$D$20*(100%-J33)+($F$20))</f>
        <v>1.9608000000000003</v>
      </c>
      <c r="P33" s="243"/>
    </row>
    <row r="34" spans="1:24" ht="15">
      <c r="A34" s="199">
        <f>+'Tabel 2025 52 weken incl. 27'!A34</f>
        <v>23212</v>
      </c>
      <c r="B34" s="199">
        <f>+'Tabel 2025 52 weken incl. 27'!B34</f>
        <v>24756</v>
      </c>
      <c r="D34" s="142">
        <f>+'Tabel 2025 52 weken incl. 27'!D34</f>
        <v>0.96</v>
      </c>
      <c r="E34" s="140"/>
      <c r="F34" s="293">
        <f t="shared" ref="F34:F97" si="0">IF($D$19&gt;=$F$28,($F$28*(100%-D34))+($F$19),$D$19*(100%-D34)+$F$19)</f>
        <v>1.7583999999999986</v>
      </c>
      <c r="G34" s="292"/>
      <c r="H34" s="293">
        <f t="shared" ref="H34:H97" si="1">IF($D$20&gt;=$H$28,($H$28*(100%-D34))+($F$20),$D$20*(100%-D34)+($F$20))</f>
        <v>1.9608000000000003</v>
      </c>
      <c r="J34" s="143">
        <f>+'Tabel 2025 52 weken incl. 27'!J34</f>
        <v>0.96</v>
      </c>
      <c r="K34" s="141"/>
      <c r="L34" s="295">
        <f t="shared" ref="L34:L97" si="2">IF($D$19&gt;=$L$28,($L$28*(100%-J34))+(F$19),$D$19*(100%-J34)+$F$19)</f>
        <v>1.7583999999999986</v>
      </c>
      <c r="M34" s="294"/>
      <c r="N34" s="295">
        <f t="shared" ref="N34:N97" si="3">IF($D$20&gt;=$H$28,($H$28*(100%-J34))+($F$20),$D$20*(100%-J34)+($F$20))</f>
        <v>1.9608000000000003</v>
      </c>
    </row>
    <row r="35" spans="1:24" ht="15">
      <c r="A35" s="199">
        <f>+'Tabel 2025 52 weken incl. 27'!A35</f>
        <v>24757</v>
      </c>
      <c r="B35" s="199">
        <f>+'Tabel 2025 52 weken incl. 27'!B35</f>
        <v>26300</v>
      </c>
      <c r="D35" s="142">
        <f>+'Tabel 2025 52 weken incl. 27'!D35</f>
        <v>0.96</v>
      </c>
      <c r="E35" s="140"/>
      <c r="F35" s="293">
        <f t="shared" si="0"/>
        <v>1.7583999999999986</v>
      </c>
      <c r="G35" s="292"/>
      <c r="H35" s="293">
        <f t="shared" si="1"/>
        <v>1.9608000000000003</v>
      </c>
      <c r="J35" s="143">
        <f>+'Tabel 2025 52 weken incl. 27'!J35</f>
        <v>0.96</v>
      </c>
      <c r="K35" s="141"/>
      <c r="L35" s="295">
        <f t="shared" si="2"/>
        <v>1.7583999999999986</v>
      </c>
      <c r="M35" s="294"/>
      <c r="N35" s="295">
        <f t="shared" si="3"/>
        <v>1.9608000000000003</v>
      </c>
      <c r="R35" s="104"/>
    </row>
    <row r="36" spans="1:24" ht="15">
      <c r="A36" s="199">
        <f>+'Tabel 2025 52 weken incl. 27'!A36</f>
        <v>26301</v>
      </c>
      <c r="B36" s="199">
        <f>+'Tabel 2025 52 weken incl. 27'!B36</f>
        <v>27848</v>
      </c>
      <c r="D36" s="142">
        <f>+'Tabel 2025 52 weken incl. 27'!D36</f>
        <v>0.96</v>
      </c>
      <c r="E36" s="140"/>
      <c r="F36" s="293">
        <f t="shared" si="0"/>
        <v>1.7583999999999986</v>
      </c>
      <c r="G36" s="292"/>
      <c r="H36" s="293">
        <f t="shared" si="1"/>
        <v>1.9608000000000003</v>
      </c>
      <c r="J36" s="143">
        <f>+'Tabel 2025 52 weken incl. 27'!J36</f>
        <v>0.96</v>
      </c>
      <c r="K36" s="141"/>
      <c r="L36" s="295">
        <f t="shared" si="2"/>
        <v>1.7583999999999986</v>
      </c>
      <c r="M36" s="294"/>
      <c r="N36" s="295">
        <f t="shared" si="3"/>
        <v>1.9608000000000003</v>
      </c>
    </row>
    <row r="37" spans="1:24" ht="15">
      <c r="A37" s="199">
        <f>+'Tabel 2025 52 weken incl. 27'!A37</f>
        <v>27849</v>
      </c>
      <c r="B37" s="199">
        <f>+'Tabel 2025 52 weken incl. 27'!B37</f>
        <v>29392</v>
      </c>
      <c r="D37" s="142">
        <f>+'Tabel 2025 52 weken incl. 27'!D37</f>
        <v>0.96</v>
      </c>
      <c r="E37" s="140"/>
      <c r="F37" s="293">
        <f t="shared" si="0"/>
        <v>1.7583999999999986</v>
      </c>
      <c r="G37" s="292"/>
      <c r="H37" s="293">
        <f t="shared" si="1"/>
        <v>1.9608000000000003</v>
      </c>
      <c r="J37" s="143">
        <f>+'Tabel 2025 52 weken incl. 27'!J37</f>
        <v>0.96</v>
      </c>
      <c r="K37" s="141"/>
      <c r="L37" s="295">
        <f t="shared" si="2"/>
        <v>1.7583999999999986</v>
      </c>
      <c r="M37" s="294"/>
      <c r="N37" s="295">
        <f t="shared" si="3"/>
        <v>1.9608000000000003</v>
      </c>
    </row>
    <row r="38" spans="1:24" ht="15">
      <c r="A38" s="199">
        <f>+'Tabel 2025 52 weken incl. 27'!A38</f>
        <v>29393</v>
      </c>
      <c r="B38" s="199">
        <f>+'Tabel 2025 52 weken incl. 27'!B38</f>
        <v>30939</v>
      </c>
      <c r="D38" s="142">
        <f>+'Tabel 2025 52 weken incl. 27'!D38</f>
        <v>0.96</v>
      </c>
      <c r="E38" s="140"/>
      <c r="F38" s="293">
        <f t="shared" si="0"/>
        <v>1.7583999999999986</v>
      </c>
      <c r="G38" s="292"/>
      <c r="H38" s="293">
        <f t="shared" si="1"/>
        <v>1.9608000000000003</v>
      </c>
      <c r="J38" s="143">
        <f>+'Tabel 2025 52 weken incl. 27'!J38</f>
        <v>0.96</v>
      </c>
      <c r="K38" s="141"/>
      <c r="L38" s="295">
        <f t="shared" si="2"/>
        <v>1.7583999999999986</v>
      </c>
      <c r="M38" s="294"/>
      <c r="N38" s="295">
        <f t="shared" si="3"/>
        <v>1.9608000000000003</v>
      </c>
    </row>
    <row r="39" spans="1:24" ht="15">
      <c r="A39" s="199">
        <f>+'Tabel 2025 52 weken incl. 27'!A39</f>
        <v>30940</v>
      </c>
      <c r="B39" s="199">
        <f>+'Tabel 2025 52 weken incl. 27'!B39</f>
        <v>32483</v>
      </c>
      <c r="D39" s="142">
        <f>+'Tabel 2025 52 weken incl. 27'!D39</f>
        <v>0.96</v>
      </c>
      <c r="E39" s="140"/>
      <c r="F39" s="293">
        <f t="shared" si="0"/>
        <v>1.7583999999999986</v>
      </c>
      <c r="G39" s="292"/>
      <c r="H39" s="293">
        <f t="shared" si="1"/>
        <v>1.9608000000000003</v>
      </c>
      <c r="J39" s="143">
        <f>+'Tabel 2025 52 weken incl. 27'!J39</f>
        <v>0.96</v>
      </c>
      <c r="K39" s="141"/>
      <c r="L39" s="295">
        <f t="shared" si="2"/>
        <v>1.7583999999999986</v>
      </c>
      <c r="M39" s="294"/>
      <c r="N39" s="295">
        <f t="shared" si="3"/>
        <v>1.9608000000000003</v>
      </c>
    </row>
    <row r="40" spans="1:24" ht="15">
      <c r="A40" s="199">
        <f>+'Tabel 2025 52 weken incl. 27'!A40</f>
        <v>32484</v>
      </c>
      <c r="B40" s="199">
        <f>+'Tabel 2025 52 weken incl. 27'!B40</f>
        <v>34025</v>
      </c>
      <c r="D40" s="142">
        <f>+'Tabel 2025 52 weken incl. 27'!D40</f>
        <v>0.96</v>
      </c>
      <c r="E40" s="140"/>
      <c r="F40" s="293">
        <f t="shared" si="0"/>
        <v>1.7583999999999986</v>
      </c>
      <c r="G40" s="292"/>
      <c r="H40" s="293">
        <f t="shared" si="1"/>
        <v>1.9608000000000003</v>
      </c>
      <c r="J40" s="143">
        <f>+'Tabel 2025 52 weken incl. 27'!J40</f>
        <v>0.96</v>
      </c>
      <c r="K40" s="141"/>
      <c r="L40" s="295">
        <f t="shared" si="2"/>
        <v>1.7583999999999986</v>
      </c>
      <c r="M40" s="294"/>
      <c r="N40" s="295">
        <f t="shared" si="3"/>
        <v>1.9608000000000003</v>
      </c>
    </row>
    <row r="41" spans="1:24" ht="15">
      <c r="A41" s="199">
        <f>+'Tabel 2025 52 weken incl. 27'!A41</f>
        <v>34026</v>
      </c>
      <c r="B41" s="199">
        <f>+'Tabel 2025 52 weken incl. 27'!B41</f>
        <v>35687</v>
      </c>
      <c r="D41" s="142">
        <f>+'Tabel 2025 52 weken incl. 27'!D41</f>
        <v>0.96</v>
      </c>
      <c r="E41" s="140"/>
      <c r="F41" s="293">
        <f t="shared" si="0"/>
        <v>1.7583999999999986</v>
      </c>
      <c r="G41" s="292"/>
      <c r="H41" s="293">
        <f t="shared" si="1"/>
        <v>1.9608000000000003</v>
      </c>
      <c r="J41" s="143">
        <f>+'Tabel 2025 52 weken incl. 27'!J41</f>
        <v>0.96</v>
      </c>
      <c r="K41" s="141"/>
      <c r="L41" s="295">
        <f t="shared" si="2"/>
        <v>1.7583999999999986</v>
      </c>
      <c r="M41" s="294"/>
      <c r="N41" s="295">
        <f t="shared" si="3"/>
        <v>1.9608000000000003</v>
      </c>
    </row>
    <row r="42" spans="1:24" ht="15">
      <c r="A42" s="199">
        <f>+'Tabel 2025 52 weken incl. 27'!A42</f>
        <v>35688</v>
      </c>
      <c r="B42" s="199">
        <f>+'Tabel 2025 52 weken incl. 27'!B42</f>
        <v>37346</v>
      </c>
      <c r="D42" s="142">
        <f>+'Tabel 2025 52 weken incl. 27'!D42</f>
        <v>0.96</v>
      </c>
      <c r="E42" s="140"/>
      <c r="F42" s="293">
        <f t="shared" si="0"/>
        <v>1.7583999999999986</v>
      </c>
      <c r="G42" s="292"/>
      <c r="H42" s="293">
        <f t="shared" si="1"/>
        <v>1.9608000000000003</v>
      </c>
      <c r="J42" s="143">
        <f>+'Tabel 2025 52 weken incl. 27'!J42</f>
        <v>0.96</v>
      </c>
      <c r="K42" s="141"/>
      <c r="L42" s="295">
        <f t="shared" si="2"/>
        <v>1.7583999999999986</v>
      </c>
      <c r="M42" s="294"/>
      <c r="N42" s="295">
        <f t="shared" si="3"/>
        <v>1.9608000000000003</v>
      </c>
    </row>
    <row r="43" spans="1:24" ht="15">
      <c r="A43" s="199">
        <f>+'Tabel 2025 52 weken incl. 27'!A43</f>
        <v>37347</v>
      </c>
      <c r="B43" s="199">
        <f>+'Tabel 2025 52 weken incl. 27'!B43</f>
        <v>39010</v>
      </c>
      <c r="D43" s="142">
        <f>+'Tabel 2025 52 weken incl. 27'!D43</f>
        <v>0.96</v>
      </c>
      <c r="E43" s="140"/>
      <c r="F43" s="293">
        <f t="shared" si="0"/>
        <v>1.7583999999999986</v>
      </c>
      <c r="G43" s="292"/>
      <c r="H43" s="293">
        <f t="shared" si="1"/>
        <v>1.9608000000000003</v>
      </c>
      <c r="J43" s="143">
        <f>+'Tabel 2025 52 weken incl. 27'!J43</f>
        <v>0.96</v>
      </c>
      <c r="K43" s="141"/>
      <c r="L43" s="295">
        <f t="shared" si="2"/>
        <v>1.7583999999999986</v>
      </c>
      <c r="M43" s="294"/>
      <c r="N43" s="295">
        <f t="shared" si="3"/>
        <v>1.9608000000000003</v>
      </c>
    </row>
    <row r="44" spans="1:24" ht="15">
      <c r="A44" s="199">
        <f>+'Tabel 2025 52 weken incl. 27'!A44</f>
        <v>39011</v>
      </c>
      <c r="B44" s="199">
        <f>+'Tabel 2025 52 weken incl. 27'!B44</f>
        <v>40670</v>
      </c>
      <c r="D44" s="142">
        <f>+'Tabel 2025 52 weken incl. 27'!D44</f>
        <v>0.96</v>
      </c>
      <c r="E44" s="140"/>
      <c r="F44" s="293">
        <f t="shared" si="0"/>
        <v>1.7583999999999986</v>
      </c>
      <c r="G44" s="292"/>
      <c r="H44" s="293">
        <f t="shared" si="1"/>
        <v>1.9608000000000003</v>
      </c>
      <c r="J44" s="143">
        <f>+'Tabel 2025 52 weken incl. 27'!J44</f>
        <v>0.96</v>
      </c>
      <c r="K44" s="141"/>
      <c r="L44" s="295">
        <f t="shared" si="2"/>
        <v>1.7583999999999986</v>
      </c>
      <c r="M44" s="294"/>
      <c r="N44" s="295">
        <f t="shared" si="3"/>
        <v>1.9608000000000003</v>
      </c>
    </row>
    <row r="45" spans="1:24" ht="15">
      <c r="A45" s="199">
        <f>+'Tabel 2025 52 weken incl. 27'!A45</f>
        <v>40671</v>
      </c>
      <c r="B45" s="199">
        <f>+'Tabel 2025 52 weken incl. 27'!B45</f>
        <v>42336</v>
      </c>
      <c r="D45" s="142">
        <f>+'Tabel 2025 52 weken incl. 27'!D45</f>
        <v>0.96</v>
      </c>
      <c r="E45" s="140"/>
      <c r="F45" s="293">
        <f t="shared" si="0"/>
        <v>1.7583999999999986</v>
      </c>
      <c r="G45" s="292"/>
      <c r="H45" s="293">
        <f t="shared" si="1"/>
        <v>1.9608000000000003</v>
      </c>
      <c r="J45" s="143">
        <f>+'Tabel 2025 52 weken incl. 27'!J45</f>
        <v>0.96</v>
      </c>
      <c r="K45" s="141"/>
      <c r="L45" s="295">
        <f t="shared" si="2"/>
        <v>1.7583999999999986</v>
      </c>
      <c r="M45" s="294"/>
      <c r="N45" s="295">
        <f t="shared" si="3"/>
        <v>1.9608000000000003</v>
      </c>
      <c r="R45" t="s">
        <v>77</v>
      </c>
      <c r="S45" t="s">
        <v>77</v>
      </c>
      <c r="T45" t="s">
        <v>77</v>
      </c>
      <c r="U45" t="s">
        <v>78</v>
      </c>
      <c r="V45" t="s">
        <v>70</v>
      </c>
    </row>
    <row r="46" spans="1:24" ht="15">
      <c r="A46" s="199">
        <f>+'Tabel 2025 52 weken incl. 27'!A46</f>
        <v>42337</v>
      </c>
      <c r="B46" s="199">
        <f>+'Tabel 2025 52 weken incl. 27'!B46</f>
        <v>43998</v>
      </c>
      <c r="D46" s="142">
        <f>+'Tabel 2025 52 weken incl. 27'!D46</f>
        <v>0.96</v>
      </c>
      <c r="E46" s="140"/>
      <c r="F46" s="293">
        <f t="shared" si="0"/>
        <v>1.7583999999999986</v>
      </c>
      <c r="G46" s="292"/>
      <c r="H46" s="293">
        <f t="shared" si="1"/>
        <v>1.9608000000000003</v>
      </c>
      <c r="J46" s="143">
        <f>+'Tabel 2025 52 weken incl. 27'!J46</f>
        <v>0.96</v>
      </c>
      <c r="K46" s="141"/>
      <c r="L46" s="295">
        <f t="shared" si="2"/>
        <v>1.7583999999999986</v>
      </c>
      <c r="M46" s="294"/>
      <c r="N46" s="295">
        <f t="shared" si="3"/>
        <v>1.9608000000000003</v>
      </c>
      <c r="Q46">
        <f>26</f>
        <v>26</v>
      </c>
      <c r="R46">
        <f>Q46*3*2</f>
        <v>156</v>
      </c>
      <c r="S46">
        <f>4*7.5*2</f>
        <v>60</v>
      </c>
      <c r="T46">
        <f>R46+S46</f>
        <v>216</v>
      </c>
      <c r="U46">
        <f>T46*6.28</f>
        <v>1356.48</v>
      </c>
      <c r="V46" s="105">
        <f>T46*5.93*(100%-D46)+((6.28-5.93)*T46)</f>
        <v>126.83520000000016</v>
      </c>
      <c r="W46" s="244">
        <v>0.5</v>
      </c>
      <c r="X46" t="s">
        <v>79</v>
      </c>
    </row>
    <row r="47" spans="1:24" ht="15">
      <c r="A47" s="199">
        <f>+'Tabel 2025 52 weken incl. 27'!A47</f>
        <v>43999</v>
      </c>
      <c r="B47" s="199">
        <f>+'Tabel 2025 52 weken incl. 27'!B47</f>
        <v>45700</v>
      </c>
      <c r="D47" s="142">
        <f>+'Tabel 2025 52 weken incl. 27'!D47</f>
        <v>0.96</v>
      </c>
      <c r="E47" s="140"/>
      <c r="F47" s="293">
        <f t="shared" si="0"/>
        <v>1.7583999999999986</v>
      </c>
      <c r="G47" s="292"/>
      <c r="H47" s="293">
        <f t="shared" si="1"/>
        <v>1.9608000000000003</v>
      </c>
      <c r="J47" s="143">
        <f>+'Tabel 2025 52 weken incl. 27'!J47</f>
        <v>0.96</v>
      </c>
      <c r="K47" s="141"/>
      <c r="L47" s="295">
        <f t="shared" si="2"/>
        <v>1.7583999999999986</v>
      </c>
      <c r="M47" s="294"/>
      <c r="N47" s="295">
        <f t="shared" si="3"/>
        <v>1.9608000000000003</v>
      </c>
      <c r="V47" s="105">
        <f>T46*5.93*(100%-D46)+((W47-5.93)*T46)</f>
        <v>234.83520000000016</v>
      </c>
      <c r="W47">
        <f>6.28+W46</f>
        <v>6.78</v>
      </c>
    </row>
    <row r="48" spans="1:24" ht="15">
      <c r="A48" s="199">
        <f>+'Tabel 2025 52 weken incl. 27'!A48</f>
        <v>45701</v>
      </c>
      <c r="B48" s="199">
        <f>+'Tabel 2025 52 weken incl. 27'!B48</f>
        <v>47403</v>
      </c>
      <c r="D48" s="142">
        <f>+'Tabel 2025 52 weken incl. 27'!D48</f>
        <v>0.96</v>
      </c>
      <c r="E48" s="140"/>
      <c r="F48" s="293">
        <f t="shared" si="0"/>
        <v>1.7583999999999986</v>
      </c>
      <c r="G48" s="292"/>
      <c r="H48" s="293">
        <f t="shared" si="1"/>
        <v>1.9608000000000003</v>
      </c>
      <c r="J48" s="143">
        <f>+'Tabel 2025 52 weken incl. 27'!J48</f>
        <v>0.96</v>
      </c>
      <c r="K48" s="141"/>
      <c r="L48" s="295">
        <f t="shared" si="2"/>
        <v>1.7583999999999986</v>
      </c>
      <c r="M48" s="294"/>
      <c r="N48" s="295">
        <f t="shared" si="3"/>
        <v>1.9608000000000003</v>
      </c>
      <c r="T48">
        <f>1350/5/2*2</f>
        <v>270</v>
      </c>
      <c r="U48">
        <f>T48*6.28</f>
        <v>1695.6000000000001</v>
      </c>
      <c r="V48" s="105">
        <f>T48*5.93*(100%-D46)+((6.28-5.93)*T48)</f>
        <v>158.54400000000021</v>
      </c>
    </row>
    <row r="49" spans="1:16" ht="15">
      <c r="A49" s="199">
        <f>+'Tabel 2025 52 weken incl. 27'!A49</f>
        <v>47404</v>
      </c>
      <c r="B49" s="199">
        <f>+'Tabel 2025 52 weken incl. 27'!B49</f>
        <v>49108</v>
      </c>
      <c r="D49" s="142">
        <f>+'Tabel 2025 52 weken incl. 27'!D49</f>
        <v>0.95299999999999996</v>
      </c>
      <c r="E49" s="140"/>
      <c r="F49" s="293">
        <f t="shared" si="0"/>
        <v>1.8333699999999988</v>
      </c>
      <c r="G49" s="292"/>
      <c r="H49" s="293">
        <f t="shared" si="1"/>
        <v>2.0274400000000004</v>
      </c>
      <c r="J49" s="143">
        <f>+'Tabel 2025 52 weken incl. 27'!J49</f>
        <v>0.95599999999999996</v>
      </c>
      <c r="K49" s="141"/>
      <c r="L49" s="295">
        <f t="shared" si="2"/>
        <v>1.8012399999999986</v>
      </c>
      <c r="M49" s="294"/>
      <c r="N49" s="295">
        <f t="shared" si="3"/>
        <v>1.9988800000000004</v>
      </c>
    </row>
    <row r="50" spans="1:16" ht="15">
      <c r="A50" s="199">
        <f>+'Tabel 2025 52 weken incl. 27'!A50</f>
        <v>49109</v>
      </c>
      <c r="B50" s="199">
        <f>+'Tabel 2025 52 weken incl. 27'!B50</f>
        <v>50811</v>
      </c>
      <c r="D50" s="142">
        <f>+'Tabel 2025 52 weken incl. 27'!D50</f>
        <v>0.94599999999999995</v>
      </c>
      <c r="E50" s="140"/>
      <c r="F50" s="293">
        <f t="shared" si="0"/>
        <v>1.9083399999999988</v>
      </c>
      <c r="G50" s="292"/>
      <c r="H50" s="293">
        <f t="shared" si="1"/>
        <v>2.0940800000000004</v>
      </c>
      <c r="J50" s="143">
        <f>+'Tabel 2025 52 weken incl. 27'!J50</f>
        <v>0.95199999999999996</v>
      </c>
      <c r="K50" s="141"/>
      <c r="L50" s="295">
        <f t="shared" si="2"/>
        <v>1.8440799999999988</v>
      </c>
      <c r="M50" s="294"/>
      <c r="N50" s="295">
        <f t="shared" si="3"/>
        <v>2.0369600000000005</v>
      </c>
    </row>
    <row r="51" spans="1:16" ht="15">
      <c r="A51" s="199">
        <f>+'Tabel 2025 52 weken incl. 27'!A51</f>
        <v>50812</v>
      </c>
      <c r="B51" s="199">
        <f>+'Tabel 2025 52 weken incl. 27'!B51</f>
        <v>52519</v>
      </c>
      <c r="D51" s="142">
        <f>+'Tabel 2025 52 weken incl. 27'!D51</f>
        <v>0.93700000000000006</v>
      </c>
      <c r="E51" s="140"/>
      <c r="F51" s="293">
        <f t="shared" si="0"/>
        <v>2.0047299999999977</v>
      </c>
      <c r="G51" s="292"/>
      <c r="H51" s="293">
        <f t="shared" si="1"/>
        <v>2.1797599999999995</v>
      </c>
      <c r="J51" s="143">
        <f>+'Tabel 2025 52 weken incl. 27'!J51</f>
        <v>0.94799999999999995</v>
      </c>
      <c r="K51" s="141"/>
      <c r="L51" s="295">
        <f t="shared" si="2"/>
        <v>1.8869199999999988</v>
      </c>
      <c r="M51" s="294"/>
      <c r="N51" s="295">
        <f t="shared" si="3"/>
        <v>2.0750400000000004</v>
      </c>
    </row>
    <row r="52" spans="1:16" ht="15">
      <c r="A52" s="199">
        <f>+'Tabel 2025 52 weken incl. 27'!A52</f>
        <v>52520</v>
      </c>
      <c r="B52" s="199">
        <f>+'Tabel 2025 52 weken incl. 27'!B52</f>
        <v>54221</v>
      </c>
      <c r="D52" s="142">
        <f>+'Tabel 2025 52 weken incl. 27'!D52</f>
        <v>0.93100000000000005</v>
      </c>
      <c r="E52" s="140"/>
      <c r="F52" s="293">
        <f t="shared" si="0"/>
        <v>2.0689899999999977</v>
      </c>
      <c r="G52" s="292"/>
      <c r="H52" s="293">
        <f t="shared" si="1"/>
        <v>2.2368799999999993</v>
      </c>
      <c r="J52" s="143">
        <f>+'Tabel 2025 52 weken incl. 27'!J52</f>
        <v>0.94499999999999995</v>
      </c>
      <c r="K52" s="141"/>
      <c r="L52" s="295">
        <f t="shared" si="2"/>
        <v>1.9190499999999988</v>
      </c>
      <c r="M52" s="294"/>
      <c r="N52" s="295">
        <f t="shared" si="3"/>
        <v>2.1036000000000006</v>
      </c>
    </row>
    <row r="53" spans="1:16" ht="15">
      <c r="A53" s="199">
        <f>+'Tabel 2025 52 weken incl. 27'!A53</f>
        <v>54222</v>
      </c>
      <c r="B53" s="199">
        <f>+'Tabel 2025 52 weken incl. 27'!B53</f>
        <v>55925</v>
      </c>
      <c r="D53" s="142">
        <f>+'Tabel 2025 52 weken incl. 27'!D53</f>
        <v>0.92300000000000004</v>
      </c>
      <c r="E53" s="140"/>
      <c r="F53" s="293">
        <f t="shared" si="0"/>
        <v>2.1546699999999976</v>
      </c>
      <c r="G53" s="292"/>
      <c r="H53" s="293">
        <f t="shared" si="1"/>
        <v>2.3130399999999995</v>
      </c>
      <c r="J53" s="143">
        <f>+'Tabel 2025 52 weken incl. 27'!J53</f>
        <v>0.94499999999999995</v>
      </c>
      <c r="K53" s="141"/>
      <c r="L53" s="295">
        <f t="shared" si="2"/>
        <v>1.9190499999999988</v>
      </c>
      <c r="M53" s="294"/>
      <c r="N53" s="295">
        <f t="shared" si="3"/>
        <v>2.1036000000000006</v>
      </c>
    </row>
    <row r="54" spans="1:16" ht="15">
      <c r="A54" s="199">
        <f>+'Tabel 2025 52 weken incl. 27'!A54</f>
        <v>55926</v>
      </c>
      <c r="B54" s="199">
        <f>+'Tabel 2025 52 weken incl. 27'!B54</f>
        <v>57629</v>
      </c>
      <c r="D54" s="142">
        <f>+'Tabel 2025 52 weken incl. 27'!D54</f>
        <v>0.91600000000000004</v>
      </c>
      <c r="E54" s="140"/>
      <c r="F54" s="293">
        <f t="shared" si="0"/>
        <v>2.2296399999999981</v>
      </c>
      <c r="G54" s="292"/>
      <c r="H54" s="293">
        <f t="shared" si="1"/>
        <v>2.3796799999999996</v>
      </c>
      <c r="J54" s="143">
        <f>+'Tabel 2025 52 weken incl. 27'!J54</f>
        <v>0.94499999999999995</v>
      </c>
      <c r="K54" s="141"/>
      <c r="L54" s="295">
        <f t="shared" si="2"/>
        <v>1.9190499999999988</v>
      </c>
      <c r="M54" s="294"/>
      <c r="N54" s="295">
        <f t="shared" si="3"/>
        <v>2.1036000000000006</v>
      </c>
    </row>
    <row r="55" spans="1:16" ht="15">
      <c r="A55" s="199">
        <f>+'Tabel 2025 52 weken incl. 27'!A55</f>
        <v>57630</v>
      </c>
      <c r="B55" s="199">
        <f>+'Tabel 2025 52 weken incl. 27'!B55</f>
        <v>59492</v>
      </c>
      <c r="D55" s="142">
        <f>+'Tabel 2025 52 weken incl. 27'!D55</f>
        <v>0.90700000000000003</v>
      </c>
      <c r="E55" s="140"/>
      <c r="F55" s="293">
        <f t="shared" si="0"/>
        <v>2.326029999999998</v>
      </c>
      <c r="G55" s="292"/>
      <c r="H55" s="293">
        <f t="shared" si="1"/>
        <v>2.4653599999999996</v>
      </c>
      <c r="J55" s="143">
        <f>+'Tabel 2025 52 weken incl. 27'!J55</f>
        <v>0.94499999999999995</v>
      </c>
      <c r="K55" s="141"/>
      <c r="L55" s="295">
        <f t="shared" si="2"/>
        <v>1.9190499999999988</v>
      </c>
      <c r="M55" s="294"/>
      <c r="N55" s="295">
        <f t="shared" si="3"/>
        <v>2.1036000000000006</v>
      </c>
    </row>
    <row r="56" spans="1:16" ht="15">
      <c r="A56" s="199">
        <f>+'Tabel 2025 52 weken incl. 27'!A56</f>
        <v>59493</v>
      </c>
      <c r="B56" s="199">
        <f>+'Tabel 2025 52 weken incl. 27'!B56</f>
        <v>63144</v>
      </c>
      <c r="D56" s="142">
        <f>+'Tabel 2025 52 weken incl. 27'!D56</f>
        <v>0.89200000000000002</v>
      </c>
      <c r="E56" s="140"/>
      <c r="F56" s="293">
        <f t="shared" si="0"/>
        <v>2.486679999999998</v>
      </c>
      <c r="G56" s="292"/>
      <c r="H56" s="293">
        <f t="shared" si="1"/>
        <v>2.6081599999999998</v>
      </c>
      <c r="J56" s="143">
        <f>+'Tabel 2025 52 weken incl. 27'!J56</f>
        <v>0.94499999999999995</v>
      </c>
      <c r="K56" s="141"/>
      <c r="L56" s="295">
        <f t="shared" si="2"/>
        <v>1.9190499999999988</v>
      </c>
      <c r="M56" s="294"/>
      <c r="N56" s="295">
        <f t="shared" si="3"/>
        <v>2.1036000000000006</v>
      </c>
    </row>
    <row r="57" spans="1:16" ht="15">
      <c r="A57" s="199">
        <f>+'Tabel 2025 52 weken incl. 27'!A57</f>
        <v>63145</v>
      </c>
      <c r="B57" s="199">
        <f>+'Tabel 2025 52 weken incl. 27'!B57</f>
        <v>66794</v>
      </c>
      <c r="D57" s="142">
        <f>+'Tabel 2025 52 weken incl. 27'!D57</f>
        <v>0.88400000000000001</v>
      </c>
      <c r="E57" s="140"/>
      <c r="F57" s="293">
        <f t="shared" si="0"/>
        <v>2.572359999999998</v>
      </c>
      <c r="G57" s="292"/>
      <c r="H57" s="293">
        <f t="shared" si="1"/>
        <v>2.68432</v>
      </c>
      <c r="J57" s="143">
        <f>+'Tabel 2025 52 weken incl. 27'!J57</f>
        <v>0.94099999999999995</v>
      </c>
      <c r="K57" s="141"/>
      <c r="L57" s="295">
        <f t="shared" si="2"/>
        <v>1.961889999999999</v>
      </c>
      <c r="M57" s="294"/>
      <c r="N57" s="295">
        <f t="shared" si="3"/>
        <v>2.1416800000000005</v>
      </c>
    </row>
    <row r="58" spans="1:16" ht="15">
      <c r="A58" s="199">
        <f>+'Tabel 2025 52 weken incl. 27'!A58</f>
        <v>66795</v>
      </c>
      <c r="B58" s="199">
        <f>+'Tabel 2025 52 weken incl. 27'!B58</f>
        <v>70446</v>
      </c>
      <c r="D58" s="142">
        <f>+'Tabel 2025 52 weken incl. 27'!D58</f>
        <v>0.873</v>
      </c>
      <c r="E58" s="140"/>
      <c r="F58" s="293">
        <f t="shared" si="0"/>
        <v>2.6901699999999984</v>
      </c>
      <c r="G58" s="292"/>
      <c r="H58" s="293">
        <f t="shared" si="1"/>
        <v>2.78904</v>
      </c>
      <c r="J58" s="143">
        <f>+'Tabel 2025 52 weken incl. 27'!J58</f>
        <v>0.93500000000000005</v>
      </c>
      <c r="K58" s="141"/>
      <c r="L58" s="295">
        <f t="shared" si="2"/>
        <v>2.0261499999999977</v>
      </c>
      <c r="M58" s="294"/>
      <c r="N58" s="295">
        <f t="shared" si="3"/>
        <v>2.1987999999999994</v>
      </c>
    </row>
    <row r="59" spans="1:16" ht="15">
      <c r="A59" s="199">
        <f>+'Tabel 2025 52 weken incl. 27'!A59</f>
        <v>70447</v>
      </c>
      <c r="B59" s="199">
        <f>+'Tabel 2025 52 weken incl. 27'!B59</f>
        <v>74100</v>
      </c>
      <c r="D59" s="142">
        <f>+'Tabel 2025 52 weken incl. 27'!D59</f>
        <v>0.85</v>
      </c>
      <c r="E59" s="140"/>
      <c r="F59" s="293">
        <f t="shared" si="0"/>
        <v>2.9364999999999988</v>
      </c>
      <c r="G59" s="292"/>
      <c r="H59" s="293">
        <f t="shared" si="1"/>
        <v>3.008</v>
      </c>
      <c r="J59" s="143">
        <f>+'Tabel 2025 52 weken incl. 27'!J59</f>
        <v>0.93100000000000005</v>
      </c>
      <c r="K59" s="141"/>
      <c r="L59" s="295">
        <f t="shared" si="2"/>
        <v>2.0689899999999977</v>
      </c>
      <c r="M59" s="294"/>
      <c r="N59" s="295">
        <f t="shared" si="3"/>
        <v>2.2368799999999993</v>
      </c>
    </row>
    <row r="60" spans="1:16" ht="15">
      <c r="A60" s="199">
        <f>+'Tabel 2025 52 weken incl. 27'!A60</f>
        <v>74101</v>
      </c>
      <c r="B60" s="199">
        <f>+'Tabel 2025 52 weken incl. 27'!B60</f>
        <v>77750</v>
      </c>
      <c r="D60" s="142">
        <f>+'Tabel 2025 52 weken incl. 27'!D60</f>
        <v>0.82699999999999996</v>
      </c>
      <c r="E60" s="140"/>
      <c r="F60" s="293">
        <f t="shared" si="0"/>
        <v>3.1828299999999992</v>
      </c>
      <c r="G60" s="292"/>
      <c r="H60" s="293">
        <f t="shared" si="1"/>
        <v>3.2269600000000005</v>
      </c>
      <c r="J60" s="143">
        <f>+'Tabel 2025 52 weken incl. 27'!J60</f>
        <v>0.92800000000000005</v>
      </c>
      <c r="K60" s="141"/>
      <c r="L60" s="295">
        <f t="shared" si="2"/>
        <v>2.1011199999999981</v>
      </c>
      <c r="M60" s="294"/>
      <c r="N60" s="295">
        <f t="shared" si="3"/>
        <v>2.2654399999999995</v>
      </c>
    </row>
    <row r="61" spans="1:16" ht="15">
      <c r="A61" s="199">
        <f>+'Tabel 2025 52 weken incl. 27'!A61</f>
        <v>77751</v>
      </c>
      <c r="B61" s="199">
        <f>+'Tabel 2025 52 weken incl. 27'!B61</f>
        <v>81404</v>
      </c>
      <c r="D61" s="142">
        <f>+'Tabel 2025 52 weken incl. 27'!D61</f>
        <v>0.80500000000000005</v>
      </c>
      <c r="E61" s="140"/>
      <c r="F61" s="293">
        <f t="shared" si="0"/>
        <v>3.4184499999999978</v>
      </c>
      <c r="G61" s="292"/>
      <c r="H61" s="293">
        <f t="shared" si="1"/>
        <v>3.4363999999999995</v>
      </c>
      <c r="J61" s="143">
        <f>+'Tabel 2025 52 weken incl. 27'!J61</f>
        <v>0.92100000000000004</v>
      </c>
      <c r="K61" s="141"/>
      <c r="L61" s="295">
        <f t="shared" si="2"/>
        <v>2.1760899999999981</v>
      </c>
      <c r="M61" s="294"/>
      <c r="N61" s="295">
        <f t="shared" si="3"/>
        <v>2.3320799999999995</v>
      </c>
    </row>
    <row r="62" spans="1:16" ht="15">
      <c r="A62" s="199">
        <f>+'Tabel 2025 52 weken incl. 27'!A62</f>
        <v>81405</v>
      </c>
      <c r="B62" s="199">
        <f>+'Tabel 2025 52 weken incl. 27'!B62</f>
        <v>85055</v>
      </c>
      <c r="D62" s="142">
        <f>+'Tabel 2025 52 weken incl. 27'!D62</f>
        <v>0.78</v>
      </c>
      <c r="E62" s="140"/>
      <c r="F62" s="293">
        <f t="shared" si="0"/>
        <v>3.6861999999999981</v>
      </c>
      <c r="G62" s="292"/>
      <c r="H62" s="293">
        <f t="shared" si="1"/>
        <v>3.6743999999999999</v>
      </c>
      <c r="J62" s="143">
        <f>+'Tabel 2025 52 weken incl. 27'!J62</f>
        <v>0.91600000000000004</v>
      </c>
      <c r="K62" s="141"/>
      <c r="L62" s="295">
        <f t="shared" si="2"/>
        <v>2.2296399999999981</v>
      </c>
      <c r="M62" s="294"/>
      <c r="N62" s="295">
        <f t="shared" si="3"/>
        <v>2.3796799999999996</v>
      </c>
    </row>
    <row r="63" spans="1:16" ht="15">
      <c r="A63" s="199">
        <f>+'Tabel 2025 52 weken incl. 27'!A63</f>
        <v>85056</v>
      </c>
      <c r="B63" s="199">
        <f>+'Tabel 2025 52 weken incl. 27'!B63</f>
        <v>88707</v>
      </c>
      <c r="D63" s="142">
        <f>+'Tabel 2025 52 weken incl. 27'!D63</f>
        <v>0.75700000000000001</v>
      </c>
      <c r="E63" s="140"/>
      <c r="F63" s="293">
        <f t="shared" si="0"/>
        <v>3.9325299999999985</v>
      </c>
      <c r="G63" s="292"/>
      <c r="H63" s="293">
        <f t="shared" si="1"/>
        <v>3.8933599999999999</v>
      </c>
      <c r="J63" s="143">
        <f>+'Tabel 2025 52 weken incl. 27'!J63</f>
        <v>0.91100000000000003</v>
      </c>
      <c r="K63" s="141"/>
      <c r="L63" s="295">
        <f t="shared" si="2"/>
        <v>2.2831899999999981</v>
      </c>
      <c r="M63" s="294"/>
      <c r="N63" s="295">
        <f t="shared" si="3"/>
        <v>2.4272799999999997</v>
      </c>
      <c r="P63" s="104"/>
    </row>
    <row r="64" spans="1:16" ht="15">
      <c r="A64" s="199">
        <f>+'Tabel 2025 52 weken incl. 27'!A64</f>
        <v>88708</v>
      </c>
      <c r="B64" s="199">
        <f>+'Tabel 2025 52 weken incl. 27'!B64</f>
        <v>92360</v>
      </c>
      <c r="D64" s="142">
        <f>+'Tabel 2025 52 weken incl. 27'!D64</f>
        <v>0.73499999999999999</v>
      </c>
      <c r="E64" s="140"/>
      <c r="F64" s="293">
        <f t="shared" si="0"/>
        <v>4.1681499999999989</v>
      </c>
      <c r="G64" s="292"/>
      <c r="H64" s="293">
        <f t="shared" si="1"/>
        <v>4.1028000000000002</v>
      </c>
      <c r="J64" s="143">
        <f>+'Tabel 2025 52 weken incl. 27'!J64</f>
        <v>0.90400000000000003</v>
      </c>
      <c r="K64" s="141"/>
      <c r="L64" s="295">
        <f t="shared" si="2"/>
        <v>2.358159999999998</v>
      </c>
      <c r="M64" s="294"/>
      <c r="N64" s="295">
        <f t="shared" si="3"/>
        <v>2.4939199999999997</v>
      </c>
    </row>
    <row r="65" spans="1:16" ht="15">
      <c r="A65" s="199">
        <f>+'Tabel 2025 52 weken incl. 27'!A65</f>
        <v>92361</v>
      </c>
      <c r="B65" s="199">
        <f>+'Tabel 2025 52 weken incl. 27'!B65</f>
        <v>96010</v>
      </c>
      <c r="D65" s="142">
        <f>+'Tabel 2025 52 weken incl. 27'!D65</f>
        <v>0.71099999999999997</v>
      </c>
      <c r="E65" s="140"/>
      <c r="F65" s="293">
        <f t="shared" si="0"/>
        <v>4.4251899999999988</v>
      </c>
      <c r="G65" s="292"/>
      <c r="H65" s="293">
        <f t="shared" si="1"/>
        <v>4.3312800000000005</v>
      </c>
      <c r="J65" s="143">
        <f>+'Tabel 2025 52 weken incl. 27'!J65</f>
        <v>0.89800000000000002</v>
      </c>
      <c r="K65" s="141"/>
      <c r="L65" s="295">
        <f t="shared" si="2"/>
        <v>2.422419999999998</v>
      </c>
      <c r="M65" s="294"/>
      <c r="N65" s="295">
        <f t="shared" si="3"/>
        <v>2.55104</v>
      </c>
    </row>
    <row r="66" spans="1:16" ht="15">
      <c r="A66" s="199">
        <f>+'Tabel 2025 52 weken incl. 27'!A66</f>
        <v>96011</v>
      </c>
      <c r="B66" s="199">
        <f>+'Tabel 2025 52 weken incl. 27'!B66</f>
        <v>99667</v>
      </c>
      <c r="D66" s="142">
        <f>+'Tabel 2025 52 weken incl. 27'!D66</f>
        <v>0.68899999999999995</v>
      </c>
      <c r="E66" s="140"/>
      <c r="F66" s="293">
        <f t="shared" si="0"/>
        <v>4.6608099999999997</v>
      </c>
      <c r="G66" s="292"/>
      <c r="H66" s="293">
        <f t="shared" si="1"/>
        <v>4.5407200000000003</v>
      </c>
      <c r="J66" s="143">
        <f>+'Tabel 2025 52 weken incl. 27'!J66</f>
        <v>0.89400000000000002</v>
      </c>
      <c r="K66" s="141"/>
      <c r="L66" s="295">
        <f t="shared" si="2"/>
        <v>2.465259999999998</v>
      </c>
      <c r="M66" s="294"/>
      <c r="N66" s="295">
        <f t="shared" si="3"/>
        <v>2.5891199999999999</v>
      </c>
    </row>
    <row r="67" spans="1:16" ht="15">
      <c r="A67" s="199">
        <f>+'Tabel 2025 52 weken incl. 27'!A67</f>
        <v>99668</v>
      </c>
      <c r="B67" s="199">
        <f>+'Tabel 2025 52 weken incl. 27'!B67</f>
        <v>103318</v>
      </c>
      <c r="D67" s="142">
        <f>+'Tabel 2025 52 weken incl. 27'!D67</f>
        <v>0.66400000000000003</v>
      </c>
      <c r="E67" s="140"/>
      <c r="F67" s="293">
        <f t="shared" si="0"/>
        <v>4.9285599999999983</v>
      </c>
      <c r="G67" s="292"/>
      <c r="H67" s="293">
        <f t="shared" si="1"/>
        <v>4.7787199999999999</v>
      </c>
      <c r="J67" s="143">
        <f>+'Tabel 2025 52 weken incl. 27'!J67</f>
        <v>0.89100000000000001</v>
      </c>
      <c r="K67" s="141"/>
      <c r="L67" s="295">
        <f t="shared" si="2"/>
        <v>2.4973899999999984</v>
      </c>
      <c r="M67" s="294"/>
      <c r="N67" s="295">
        <f t="shared" si="3"/>
        <v>2.61768</v>
      </c>
    </row>
    <row r="68" spans="1:16" ht="15">
      <c r="A68" s="199">
        <f>+'Tabel 2025 52 weken incl. 27'!A68</f>
        <v>103319</v>
      </c>
      <c r="B68" s="199">
        <f>+'Tabel 2025 52 weken incl. 27'!B68</f>
        <v>106968</v>
      </c>
      <c r="D68" s="142">
        <f>+'Tabel 2025 52 weken incl. 27'!D68</f>
        <v>0.64100000000000001</v>
      </c>
      <c r="E68" s="140"/>
      <c r="F68" s="293">
        <f t="shared" si="0"/>
        <v>5.1748899999999987</v>
      </c>
      <c r="G68" s="292"/>
      <c r="H68" s="293">
        <f t="shared" si="1"/>
        <v>4.9976799999999999</v>
      </c>
      <c r="J68" s="143">
        <f>+'Tabel 2025 52 weken incl. 27'!J68</f>
        <v>0.88400000000000001</v>
      </c>
      <c r="K68" s="141"/>
      <c r="L68" s="295">
        <f t="shared" si="2"/>
        <v>2.572359999999998</v>
      </c>
      <c r="M68" s="294"/>
      <c r="N68" s="295">
        <f t="shared" si="3"/>
        <v>2.68432</v>
      </c>
    </row>
    <row r="69" spans="1:16" ht="15">
      <c r="A69" s="199">
        <f>+'Tabel 2025 52 weken incl. 27'!A69</f>
        <v>106969</v>
      </c>
      <c r="B69" s="199">
        <f>+'Tabel 2025 52 weken incl. 27'!B69</f>
        <v>110621</v>
      </c>
      <c r="D69" s="142">
        <f>+'Tabel 2025 52 weken incl. 27'!D69</f>
        <v>0.61899999999999999</v>
      </c>
      <c r="E69" s="140"/>
      <c r="F69" s="293">
        <f t="shared" si="0"/>
        <v>5.4105099999999986</v>
      </c>
      <c r="G69" s="292"/>
      <c r="H69" s="293">
        <f t="shared" si="1"/>
        <v>5.2071199999999997</v>
      </c>
      <c r="J69" s="143">
        <f>+'Tabel 2025 52 weken incl. 27'!J69</f>
        <v>0.88</v>
      </c>
      <c r="K69" s="141"/>
      <c r="L69" s="295">
        <f t="shared" si="2"/>
        <v>2.6151999999999984</v>
      </c>
      <c r="M69" s="294"/>
      <c r="N69" s="295">
        <f t="shared" si="3"/>
        <v>2.7223999999999999</v>
      </c>
    </row>
    <row r="70" spans="1:16" ht="15">
      <c r="A70" s="199">
        <f>+'Tabel 2025 52 weken incl. 27'!A70</f>
        <v>110622</v>
      </c>
      <c r="B70" s="199">
        <f>+'Tabel 2025 52 weken incl. 27'!B70</f>
        <v>114344</v>
      </c>
      <c r="D70" s="142">
        <f>+'Tabel 2025 52 weken incl. 27'!D70</f>
        <v>0.59499999999999997</v>
      </c>
      <c r="E70" s="140"/>
      <c r="F70" s="293">
        <f t="shared" si="0"/>
        <v>5.6675499999999985</v>
      </c>
      <c r="G70" s="292"/>
      <c r="H70" s="293">
        <f t="shared" si="1"/>
        <v>5.4356</v>
      </c>
      <c r="J70" s="143">
        <f>+'Tabel 2025 52 weken incl. 27'!J70</f>
        <v>0.875</v>
      </c>
      <c r="K70" s="141"/>
      <c r="L70" s="295">
        <f t="shared" si="2"/>
        <v>2.6687499999999984</v>
      </c>
      <c r="M70" s="294"/>
      <c r="N70" s="295">
        <f t="shared" si="3"/>
        <v>2.77</v>
      </c>
    </row>
    <row r="71" spans="1:16" ht="15">
      <c r="A71" s="199">
        <f>+'Tabel 2025 52 weken incl. 27'!A71</f>
        <v>114345</v>
      </c>
      <c r="B71" s="199">
        <f>+'Tabel 2025 52 weken incl. 27'!B71</f>
        <v>118086</v>
      </c>
      <c r="D71" s="142">
        <f>+'Tabel 2025 52 weken incl. 27'!D71</f>
        <v>0.57399999999999995</v>
      </c>
      <c r="E71" s="140"/>
      <c r="F71" s="293">
        <f t="shared" si="0"/>
        <v>5.8924599999999989</v>
      </c>
      <c r="G71" s="292"/>
      <c r="H71" s="293">
        <f t="shared" si="1"/>
        <v>5.6355200000000005</v>
      </c>
      <c r="J71" s="143">
        <f>+'Tabel 2025 52 weken incl. 27'!J71</f>
        <v>0.86799999999999999</v>
      </c>
      <c r="K71" s="141"/>
      <c r="L71" s="295">
        <f t="shared" si="2"/>
        <v>2.7437199999999984</v>
      </c>
      <c r="M71" s="294"/>
      <c r="N71" s="295">
        <f t="shared" si="3"/>
        <v>2.8366400000000001</v>
      </c>
    </row>
    <row r="72" spans="1:16" ht="15">
      <c r="A72" s="199">
        <f>+'Tabel 2025 52 weken incl. 27'!A72</f>
        <v>118087</v>
      </c>
      <c r="B72" s="199">
        <f>+'Tabel 2025 52 weken incl. 27'!B72</f>
        <v>121825</v>
      </c>
      <c r="D72" s="142">
        <f>+'Tabel 2025 52 weken incl. 27'!D72</f>
        <v>0.55300000000000005</v>
      </c>
      <c r="E72" s="140"/>
      <c r="F72" s="293">
        <f t="shared" si="0"/>
        <v>6.1173699999999984</v>
      </c>
      <c r="G72" s="292"/>
      <c r="H72" s="293">
        <f t="shared" si="1"/>
        <v>5.8354399999999993</v>
      </c>
      <c r="J72" s="143">
        <f>+'Tabel 2025 52 weken incl. 27'!J72</f>
        <v>0.86299999999999999</v>
      </c>
      <c r="K72" s="141"/>
      <c r="L72" s="295">
        <f t="shared" si="2"/>
        <v>2.7972699999999984</v>
      </c>
      <c r="M72" s="294"/>
      <c r="N72" s="295">
        <f t="shared" si="3"/>
        <v>2.8842400000000001</v>
      </c>
    </row>
    <row r="73" spans="1:16" ht="15">
      <c r="A73" s="199">
        <f>+'Tabel 2025 52 weken incl. 27'!A73</f>
        <v>121826</v>
      </c>
      <c r="B73" s="199">
        <f>+'Tabel 2025 52 weken incl. 27'!B73</f>
        <v>125565</v>
      </c>
      <c r="D73" s="142">
        <f>+'Tabel 2025 52 weken incl. 27'!D73</f>
        <v>0.53200000000000003</v>
      </c>
      <c r="E73" s="140"/>
      <c r="F73" s="293">
        <f t="shared" si="0"/>
        <v>6.3422799999999988</v>
      </c>
      <c r="G73" s="292"/>
      <c r="H73" s="293">
        <f t="shared" si="1"/>
        <v>6.0353599999999998</v>
      </c>
      <c r="J73" s="143">
        <f>+'Tabel 2025 52 weken incl. 27'!J73</f>
        <v>0.85899999999999999</v>
      </c>
      <c r="K73" s="141"/>
      <c r="L73" s="295">
        <f t="shared" si="2"/>
        <v>2.8401099999999984</v>
      </c>
      <c r="M73" s="294"/>
      <c r="N73" s="295">
        <f t="shared" si="3"/>
        <v>2.92232</v>
      </c>
    </row>
    <row r="74" spans="1:16" ht="15">
      <c r="A74" s="199">
        <f>+'Tabel 2025 52 weken incl. 27'!A74</f>
        <v>125566</v>
      </c>
      <c r="B74" s="199">
        <f>+'Tabel 2025 52 weken incl. 27'!B74</f>
        <v>129303</v>
      </c>
      <c r="D74" s="142">
        <f>+'Tabel 2025 52 weken incl. 27'!D74</f>
        <v>0.51</v>
      </c>
      <c r="E74" s="140"/>
      <c r="F74" s="293">
        <f t="shared" si="0"/>
        <v>6.5778999999999987</v>
      </c>
      <c r="G74" s="292"/>
      <c r="H74" s="293">
        <f t="shared" si="1"/>
        <v>6.2447999999999997</v>
      </c>
      <c r="J74" s="143">
        <f>+'Tabel 2025 52 weken incl. 27'!J74</f>
        <v>0.85599999999999998</v>
      </c>
      <c r="K74" s="141"/>
      <c r="L74" s="295">
        <f t="shared" si="2"/>
        <v>2.8722399999999988</v>
      </c>
      <c r="M74" s="294"/>
      <c r="N74" s="295">
        <f t="shared" si="3"/>
        <v>2.9508800000000002</v>
      </c>
    </row>
    <row r="75" spans="1:16" ht="15">
      <c r="A75" s="199">
        <f>+'Tabel 2025 52 weken incl. 27'!A75</f>
        <v>129304</v>
      </c>
      <c r="B75" s="199">
        <f>+'Tabel 2025 52 weken incl. 27'!B75</f>
        <v>133045</v>
      </c>
      <c r="D75" s="142">
        <f>+'Tabel 2025 52 weken incl. 27'!D75</f>
        <v>0.49099999999999999</v>
      </c>
      <c r="E75" s="140"/>
      <c r="F75" s="293">
        <f t="shared" si="0"/>
        <v>6.7813899999999991</v>
      </c>
      <c r="G75" s="292"/>
      <c r="H75" s="293">
        <f t="shared" si="1"/>
        <v>6.4256799999999998</v>
      </c>
      <c r="J75" s="143">
        <f>+'Tabel 2025 52 weken incl. 27'!J75</f>
        <v>0.84899999999999998</v>
      </c>
      <c r="K75" s="141"/>
      <c r="L75" s="295">
        <f t="shared" si="2"/>
        <v>2.9472099999999988</v>
      </c>
      <c r="M75" s="294"/>
      <c r="N75" s="295">
        <f t="shared" si="3"/>
        <v>3.0175200000000002</v>
      </c>
    </row>
    <row r="76" spans="1:16" ht="15">
      <c r="A76" s="199">
        <f>+'Tabel 2025 52 weken incl. 27'!A76</f>
        <v>133046</v>
      </c>
      <c r="B76" s="199">
        <f>+'Tabel 2025 52 weken incl. 27'!B76</f>
        <v>136786</v>
      </c>
      <c r="D76" s="142">
        <f>+'Tabel 2025 52 weken incl. 27'!D76</f>
        <v>0.47199999999999998</v>
      </c>
      <c r="E76" s="140"/>
      <c r="F76" s="293">
        <f t="shared" si="0"/>
        <v>6.9848799999999986</v>
      </c>
      <c r="G76" s="292"/>
      <c r="H76" s="293">
        <f t="shared" si="1"/>
        <v>6.60656</v>
      </c>
      <c r="J76" s="143">
        <f>+'Tabel 2025 52 weken incl. 27'!J76</f>
        <v>0.84299999999999997</v>
      </c>
      <c r="K76" s="141"/>
      <c r="L76" s="295">
        <f t="shared" si="2"/>
        <v>3.0114699999999988</v>
      </c>
      <c r="M76" s="294"/>
      <c r="N76" s="295">
        <f t="shared" si="3"/>
        <v>3.0746400000000005</v>
      </c>
    </row>
    <row r="77" spans="1:16" ht="15">
      <c r="A77" s="199">
        <f>+'Tabel 2025 52 weken incl. 27'!A77</f>
        <v>136787</v>
      </c>
      <c r="B77" s="199">
        <f>+'Tabel 2025 52 weken incl. 27'!B77</f>
        <v>140528</v>
      </c>
      <c r="D77" s="142">
        <f>+'Tabel 2025 52 weken incl. 27'!D77</f>
        <v>0.45300000000000001</v>
      </c>
      <c r="E77" s="140"/>
      <c r="F77" s="293">
        <f t="shared" si="0"/>
        <v>7.1883699999999982</v>
      </c>
      <c r="G77" s="292"/>
      <c r="H77" s="293">
        <f t="shared" si="1"/>
        <v>6.7874399999999993</v>
      </c>
      <c r="J77" s="143">
        <f>+'Tabel 2025 52 weken incl. 27'!J77</f>
        <v>0.83899999999999997</v>
      </c>
      <c r="K77" s="141"/>
      <c r="L77" s="295">
        <f t="shared" si="2"/>
        <v>3.0543099999999987</v>
      </c>
      <c r="M77" s="294"/>
      <c r="N77" s="295">
        <f t="shared" si="3"/>
        <v>3.1127200000000004</v>
      </c>
    </row>
    <row r="78" spans="1:16" ht="15">
      <c r="A78" s="199">
        <f>+'Tabel 2025 52 weken incl. 27'!A78</f>
        <v>140529</v>
      </c>
      <c r="B78" s="199">
        <f>+'Tabel 2025 52 weken incl. 27'!B78</f>
        <v>144264</v>
      </c>
      <c r="D78" s="142">
        <f>+'Tabel 2025 52 weken incl. 27'!D78</f>
        <v>0.433</v>
      </c>
      <c r="E78" s="140"/>
      <c r="F78" s="293">
        <f t="shared" si="0"/>
        <v>7.4025699999999981</v>
      </c>
      <c r="G78" s="292"/>
      <c r="H78" s="293">
        <f t="shared" si="1"/>
        <v>6.9778399999999996</v>
      </c>
      <c r="J78" s="143">
        <f>+'Tabel 2025 52 weken incl. 27'!J78</f>
        <v>0.83299999999999996</v>
      </c>
      <c r="K78" s="141"/>
      <c r="L78" s="295">
        <f t="shared" si="2"/>
        <v>3.1185699999999987</v>
      </c>
      <c r="M78" s="294"/>
      <c r="N78" s="295">
        <f t="shared" si="3"/>
        <v>3.1698400000000007</v>
      </c>
      <c r="O78" s="106"/>
      <c r="P78" s="10"/>
    </row>
    <row r="79" spans="1:16" ht="15">
      <c r="A79" s="199">
        <f>+'Tabel 2025 52 weken incl. 27'!A79</f>
        <v>144265</v>
      </c>
      <c r="B79" s="199">
        <f>+'Tabel 2025 52 weken incl. 27'!B79</f>
        <v>148003</v>
      </c>
      <c r="D79" s="142">
        <f>+'Tabel 2025 52 weken incl. 27'!D79</f>
        <v>0.41299999999999998</v>
      </c>
      <c r="E79" s="140"/>
      <c r="F79" s="293">
        <f t="shared" si="0"/>
        <v>7.616769999999998</v>
      </c>
      <c r="G79" s="292"/>
      <c r="H79" s="293">
        <f t="shared" si="1"/>
        <v>7.1682399999999991</v>
      </c>
      <c r="J79" s="143">
        <f>+'Tabel 2025 52 weken incl. 27'!J79</f>
        <v>0.82899999999999996</v>
      </c>
      <c r="K79" s="141"/>
      <c r="L79" s="295">
        <f t="shared" si="2"/>
        <v>3.1614099999999992</v>
      </c>
      <c r="M79" s="294"/>
      <c r="N79" s="295">
        <f t="shared" si="3"/>
        <v>3.2079200000000005</v>
      </c>
    </row>
    <row r="80" spans="1:16" ht="15">
      <c r="A80" s="199">
        <f>+'Tabel 2025 52 weken incl. 27'!A80</f>
        <v>148004</v>
      </c>
      <c r="B80" s="199">
        <f>+'Tabel 2025 52 weken incl. 27'!B80</f>
        <v>151746</v>
      </c>
      <c r="D80" s="142">
        <f>+'Tabel 2025 52 weken incl. 27'!D80</f>
        <v>0.39300000000000002</v>
      </c>
      <c r="E80" s="140"/>
      <c r="F80" s="293">
        <f t="shared" si="0"/>
        <v>7.8309699999999989</v>
      </c>
      <c r="G80" s="292"/>
      <c r="H80" s="293">
        <f t="shared" si="1"/>
        <v>7.3586399999999994</v>
      </c>
      <c r="J80" s="143">
        <f>+'Tabel 2025 52 weken incl. 27'!J80</f>
        <v>0.82199999999999995</v>
      </c>
      <c r="K80" s="141"/>
      <c r="L80" s="295">
        <f t="shared" si="2"/>
        <v>3.2363799999999987</v>
      </c>
      <c r="M80" s="294"/>
      <c r="N80" s="295">
        <f t="shared" si="3"/>
        <v>3.2745600000000001</v>
      </c>
    </row>
    <row r="81" spans="1:14" ht="15">
      <c r="A81" s="199">
        <f>+'Tabel 2025 52 weken incl. 27'!A81</f>
        <v>151747</v>
      </c>
      <c r="B81" s="199">
        <f>+'Tabel 2025 52 weken incl. 27'!B81</f>
        <v>155484</v>
      </c>
      <c r="D81" s="142">
        <f>+'Tabel 2025 52 weken incl. 27'!D81</f>
        <v>0.373</v>
      </c>
      <c r="E81" s="140"/>
      <c r="F81" s="293">
        <f t="shared" si="0"/>
        <v>8.0451699999999988</v>
      </c>
      <c r="G81" s="292"/>
      <c r="H81" s="293">
        <f t="shared" si="1"/>
        <v>7.5490399999999998</v>
      </c>
      <c r="J81" s="143">
        <f>+'Tabel 2025 52 weken incl. 27'!J81</f>
        <v>0.81599999999999995</v>
      </c>
      <c r="K81" s="141"/>
      <c r="L81" s="295">
        <f t="shared" si="2"/>
        <v>3.3006399999999987</v>
      </c>
      <c r="M81" s="294"/>
      <c r="N81" s="295">
        <f t="shared" si="3"/>
        <v>3.3316800000000004</v>
      </c>
    </row>
    <row r="82" spans="1:14" ht="15">
      <c r="A82" s="199">
        <f>+'Tabel 2025 52 weken incl. 27'!A82</f>
        <v>155485</v>
      </c>
      <c r="B82" s="199">
        <f>+'Tabel 2025 52 weken incl. 27'!B82</f>
        <v>159224</v>
      </c>
      <c r="D82" s="142">
        <f>+'Tabel 2025 52 weken incl. 27'!D82</f>
        <v>0.35299999999999998</v>
      </c>
      <c r="E82" s="140"/>
      <c r="F82" s="293">
        <f t="shared" si="0"/>
        <v>8.2593699999999988</v>
      </c>
      <c r="G82" s="292"/>
      <c r="H82" s="293">
        <f t="shared" si="1"/>
        <v>7.7394400000000001</v>
      </c>
      <c r="J82" s="143">
        <f>+'Tabel 2025 52 weken incl. 27'!J82</f>
        <v>0.80600000000000005</v>
      </c>
      <c r="K82" s="141"/>
      <c r="L82" s="295">
        <f t="shared" si="2"/>
        <v>3.4077399999999978</v>
      </c>
      <c r="M82" s="294"/>
      <c r="N82" s="295">
        <f t="shared" si="3"/>
        <v>3.4268799999999997</v>
      </c>
    </row>
    <row r="83" spans="1:14" ht="15">
      <c r="A83" s="199">
        <f>+'Tabel 2025 52 weken incl. 27'!A83</f>
        <v>159225</v>
      </c>
      <c r="B83" s="199">
        <f>+'Tabel 2025 52 weken incl. 27'!B83</f>
        <v>162963</v>
      </c>
      <c r="D83" s="142">
        <f>+'Tabel 2025 52 weken incl. 27'!D83</f>
        <v>0.33300000000000002</v>
      </c>
      <c r="E83" s="140"/>
      <c r="F83" s="293">
        <f t="shared" si="0"/>
        <v>8.4735699999999987</v>
      </c>
      <c r="G83" s="292"/>
      <c r="H83" s="293">
        <f t="shared" si="1"/>
        <v>7.9298400000000004</v>
      </c>
      <c r="J83" s="143">
        <f>+'Tabel 2025 52 weken incl. 27'!J83</f>
        <v>0.80300000000000005</v>
      </c>
      <c r="K83" s="141"/>
      <c r="L83" s="295">
        <f t="shared" si="2"/>
        <v>3.4398699999999978</v>
      </c>
      <c r="M83" s="294"/>
      <c r="N83" s="295">
        <f t="shared" si="3"/>
        <v>3.4554399999999994</v>
      </c>
    </row>
    <row r="84" spans="1:14" ht="15">
      <c r="A84" s="199">
        <f>+'Tabel 2025 52 weken incl. 27'!A84</f>
        <v>162964</v>
      </c>
      <c r="B84" s="199">
        <f>+'Tabel 2025 52 weken incl. 27'!B84</f>
        <v>166705</v>
      </c>
      <c r="D84" s="142">
        <f>+'Tabel 2025 52 weken incl. 27'!D84</f>
        <v>0.33300000000000002</v>
      </c>
      <c r="E84" s="140"/>
      <c r="F84" s="293">
        <f t="shared" si="0"/>
        <v>8.4735699999999987</v>
      </c>
      <c r="G84" s="292"/>
      <c r="H84" s="293">
        <f t="shared" si="1"/>
        <v>7.9298400000000004</v>
      </c>
      <c r="J84" s="143">
        <f>+'Tabel 2025 52 weken incl. 27'!J84</f>
        <v>0.79500000000000004</v>
      </c>
      <c r="K84" s="141"/>
      <c r="L84" s="295">
        <f t="shared" si="2"/>
        <v>3.5255499999999982</v>
      </c>
      <c r="M84" s="294"/>
      <c r="N84" s="295">
        <f t="shared" si="3"/>
        <v>3.5315999999999996</v>
      </c>
    </row>
    <row r="85" spans="1:14" ht="15">
      <c r="A85" s="199">
        <f>+'Tabel 2025 52 weken incl. 27'!A85</f>
        <v>166706</v>
      </c>
      <c r="B85" s="199">
        <f>+'Tabel 2025 52 weken incl. 27'!B85</f>
        <v>170449</v>
      </c>
      <c r="D85" s="142">
        <f>+'Tabel 2025 52 weken incl. 27'!D85</f>
        <v>0.33300000000000002</v>
      </c>
      <c r="E85" s="140"/>
      <c r="F85" s="293">
        <f t="shared" si="0"/>
        <v>8.4735699999999987</v>
      </c>
      <c r="G85" s="292"/>
      <c r="H85" s="293">
        <f t="shared" si="1"/>
        <v>7.9298400000000004</v>
      </c>
      <c r="J85" s="143">
        <f>+'Tabel 2025 52 weken incl. 27'!J85</f>
        <v>0.78600000000000003</v>
      </c>
      <c r="K85" s="141"/>
      <c r="L85" s="295">
        <f t="shared" si="2"/>
        <v>3.6219399999999982</v>
      </c>
      <c r="M85" s="294"/>
      <c r="N85" s="295">
        <f t="shared" si="3"/>
        <v>3.6172799999999996</v>
      </c>
    </row>
    <row r="86" spans="1:14" ht="15">
      <c r="A86" s="199">
        <f>+'Tabel 2025 52 weken incl. 27'!A86</f>
        <v>170450</v>
      </c>
      <c r="B86" s="199">
        <f>+'Tabel 2025 52 weken incl. 27'!B86</f>
        <v>174186</v>
      </c>
      <c r="D86" s="142">
        <f>+'Tabel 2025 52 weken incl. 27'!D86</f>
        <v>0.33300000000000002</v>
      </c>
      <c r="E86" s="140"/>
      <c r="F86" s="293">
        <f t="shared" si="0"/>
        <v>8.4735699999999987</v>
      </c>
      <c r="G86" s="292"/>
      <c r="H86" s="293">
        <f t="shared" si="1"/>
        <v>7.9298400000000004</v>
      </c>
      <c r="J86" s="143">
        <f>+'Tabel 2025 52 weken incl. 27'!J86</f>
        <v>0.78</v>
      </c>
      <c r="K86" s="141"/>
      <c r="L86" s="295">
        <f t="shared" si="2"/>
        <v>3.6861999999999981</v>
      </c>
      <c r="M86" s="294"/>
      <c r="N86" s="295">
        <f t="shared" si="3"/>
        <v>3.6743999999999999</v>
      </c>
    </row>
    <row r="87" spans="1:14" ht="15">
      <c r="A87" s="199">
        <f>+'Tabel 2025 52 weken incl. 27'!A87</f>
        <v>174187</v>
      </c>
      <c r="B87" s="199">
        <f>+'Tabel 2025 52 weken incl. 27'!B87</f>
        <v>177926</v>
      </c>
      <c r="D87" s="142">
        <f>+'Tabel 2025 52 weken incl. 27'!D87</f>
        <v>0.33300000000000002</v>
      </c>
      <c r="E87" s="140"/>
      <c r="F87" s="293">
        <f t="shared" si="0"/>
        <v>8.4735699999999987</v>
      </c>
      <c r="G87" s="292"/>
      <c r="H87" s="293">
        <f t="shared" si="1"/>
        <v>7.9298400000000004</v>
      </c>
      <c r="J87" s="143">
        <f>+'Tabel 2025 52 weken incl. 27'!J87</f>
        <v>0.77100000000000002</v>
      </c>
      <c r="K87" s="141"/>
      <c r="L87" s="295">
        <f t="shared" si="2"/>
        <v>3.7825899999999981</v>
      </c>
      <c r="M87" s="294"/>
      <c r="N87" s="295">
        <f t="shared" si="3"/>
        <v>3.7600799999999999</v>
      </c>
    </row>
    <row r="88" spans="1:14" ht="15">
      <c r="A88" s="199">
        <f>+'Tabel 2025 52 weken incl. 27'!A88</f>
        <v>177927</v>
      </c>
      <c r="B88" s="199">
        <f>+'Tabel 2025 52 weken incl. 27'!B88</f>
        <v>181663</v>
      </c>
      <c r="D88" s="142">
        <f>+'Tabel 2025 52 weken incl. 27'!D88</f>
        <v>0.33300000000000002</v>
      </c>
      <c r="E88" s="140"/>
      <c r="F88" s="293">
        <f t="shared" si="0"/>
        <v>8.4735699999999987</v>
      </c>
      <c r="G88" s="292"/>
      <c r="H88" s="293">
        <f t="shared" si="1"/>
        <v>7.9298400000000004</v>
      </c>
      <c r="J88" s="143">
        <f>+'Tabel 2025 52 weken incl. 27'!J88</f>
        <v>0.76600000000000001</v>
      </c>
      <c r="K88" s="141"/>
      <c r="L88" s="295">
        <f t="shared" si="2"/>
        <v>3.8361399999999986</v>
      </c>
      <c r="M88" s="294"/>
      <c r="N88" s="295">
        <f t="shared" si="3"/>
        <v>3.80768</v>
      </c>
    </row>
    <row r="89" spans="1:14" ht="15">
      <c r="A89" s="199">
        <f>+'Tabel 2025 52 weken incl. 27'!A89</f>
        <v>181664</v>
      </c>
      <c r="B89" s="199">
        <f>+'Tabel 2025 52 weken incl. 27'!B89</f>
        <v>185406</v>
      </c>
      <c r="D89" s="142">
        <f>+'Tabel 2025 52 weken incl. 27'!D89</f>
        <v>0.33300000000000002</v>
      </c>
      <c r="E89" s="140"/>
      <c r="F89" s="293">
        <f t="shared" si="0"/>
        <v>8.4735699999999987</v>
      </c>
      <c r="G89" s="292"/>
      <c r="H89" s="293">
        <f t="shared" si="1"/>
        <v>7.9298400000000004</v>
      </c>
      <c r="J89" s="143">
        <f>+'Tabel 2025 52 weken incl. 27'!J89</f>
        <v>0.75800000000000001</v>
      </c>
      <c r="K89" s="141"/>
      <c r="L89" s="295">
        <f t="shared" si="2"/>
        <v>3.9218199999999985</v>
      </c>
      <c r="M89" s="294"/>
      <c r="N89" s="295">
        <f t="shared" si="3"/>
        <v>3.8838399999999997</v>
      </c>
    </row>
    <row r="90" spans="1:14" ht="15">
      <c r="A90" s="199">
        <f>+'Tabel 2025 52 weken incl. 27'!A90</f>
        <v>185407</v>
      </c>
      <c r="B90" s="199">
        <f>+'Tabel 2025 52 weken incl. 27'!B90</f>
        <v>189147</v>
      </c>
      <c r="D90" s="142">
        <f>+'Tabel 2025 52 weken incl. 27'!D90</f>
        <v>0.33300000000000002</v>
      </c>
      <c r="E90" s="140"/>
      <c r="F90" s="293">
        <f t="shared" si="0"/>
        <v>8.4735699999999987</v>
      </c>
      <c r="G90" s="292"/>
      <c r="H90" s="293">
        <f t="shared" si="1"/>
        <v>7.9298400000000004</v>
      </c>
      <c r="J90" s="143">
        <f>+'Tabel 2025 52 weken incl. 27'!J90</f>
        <v>0.751</v>
      </c>
      <c r="K90" s="141"/>
      <c r="L90" s="295">
        <f t="shared" si="2"/>
        <v>3.9967899999999985</v>
      </c>
      <c r="M90" s="294"/>
      <c r="N90" s="295">
        <f t="shared" si="3"/>
        <v>3.9504799999999998</v>
      </c>
    </row>
    <row r="91" spans="1:14" ht="15">
      <c r="A91" s="199">
        <f>+'Tabel 2025 52 weken incl. 27'!A91</f>
        <v>189148</v>
      </c>
      <c r="B91" s="199">
        <f>+'Tabel 2025 52 weken incl. 27'!B91</f>
        <v>192888</v>
      </c>
      <c r="D91" s="142">
        <f>+'Tabel 2025 52 weken incl. 27'!D91</f>
        <v>0.33300000000000002</v>
      </c>
      <c r="E91" s="140"/>
      <c r="F91" s="293">
        <f t="shared" si="0"/>
        <v>8.4735699999999987</v>
      </c>
      <c r="G91" s="292"/>
      <c r="H91" s="293">
        <f t="shared" si="1"/>
        <v>7.9298400000000004</v>
      </c>
      <c r="J91" s="143">
        <f>+'Tabel 2025 52 weken incl. 27'!J91</f>
        <v>0.74399999999999999</v>
      </c>
      <c r="K91" s="141"/>
      <c r="L91" s="295">
        <f t="shared" si="2"/>
        <v>4.0717599999999985</v>
      </c>
      <c r="M91" s="294"/>
      <c r="N91" s="295">
        <f t="shared" si="3"/>
        <v>4.0171200000000002</v>
      </c>
    </row>
    <row r="92" spans="1:14" ht="15">
      <c r="A92" s="199">
        <f>+'Tabel 2025 52 weken incl. 27'!A92</f>
        <v>192889</v>
      </c>
      <c r="B92" s="199">
        <f>+'Tabel 2025 52 weken incl. 27'!B92</f>
        <v>196627</v>
      </c>
      <c r="D92" s="142">
        <f>+'Tabel 2025 52 weken incl. 27'!D92</f>
        <v>0.33300000000000002</v>
      </c>
      <c r="E92" s="140"/>
      <c r="F92" s="293">
        <f t="shared" si="0"/>
        <v>8.4735699999999987</v>
      </c>
      <c r="G92" s="292"/>
      <c r="H92" s="293">
        <f t="shared" si="1"/>
        <v>7.9298400000000004</v>
      </c>
      <c r="J92" s="143">
        <f>+'Tabel 2025 52 weken incl. 27'!J92</f>
        <v>0.73399999999999999</v>
      </c>
      <c r="K92" s="141"/>
      <c r="L92" s="295">
        <f t="shared" si="2"/>
        <v>4.1788599999999985</v>
      </c>
      <c r="M92" s="294"/>
      <c r="N92" s="295">
        <f t="shared" si="3"/>
        <v>4.1123200000000004</v>
      </c>
    </row>
    <row r="93" spans="1:14" ht="15">
      <c r="A93" s="199">
        <f>+'Tabel 2025 52 weken incl. 27'!A93</f>
        <v>196628</v>
      </c>
      <c r="B93" s="199">
        <f>+'Tabel 2025 52 weken incl. 27'!B93</f>
        <v>200363</v>
      </c>
      <c r="D93" s="142">
        <f>+'Tabel 2025 52 weken incl. 27'!D93</f>
        <v>0.33300000000000002</v>
      </c>
      <c r="E93" s="140"/>
      <c r="F93" s="293">
        <f t="shared" si="0"/>
        <v>8.4735699999999987</v>
      </c>
      <c r="G93" s="292"/>
      <c r="H93" s="293">
        <f t="shared" si="1"/>
        <v>7.9298400000000004</v>
      </c>
      <c r="J93" s="143">
        <f>+'Tabel 2025 52 weken incl. 27'!J93</f>
        <v>0.72899999999999998</v>
      </c>
      <c r="K93" s="141"/>
      <c r="L93" s="295">
        <f t="shared" si="2"/>
        <v>4.2324099999999989</v>
      </c>
      <c r="M93" s="294"/>
      <c r="N93" s="295">
        <f t="shared" si="3"/>
        <v>4.1599199999999996</v>
      </c>
    </row>
    <row r="94" spans="1:14" ht="15">
      <c r="A94" s="199">
        <f>+'Tabel 2025 52 weken incl. 27'!A94</f>
        <v>200364</v>
      </c>
      <c r="B94" s="199">
        <f>+'Tabel 2025 52 weken incl. 27'!B94</f>
        <v>204107</v>
      </c>
      <c r="D94" s="142">
        <f>+'Tabel 2025 52 weken incl. 27'!D94</f>
        <v>0.33300000000000002</v>
      </c>
      <c r="E94" s="140"/>
      <c r="F94" s="293">
        <f t="shared" si="0"/>
        <v>8.4735699999999987</v>
      </c>
      <c r="G94" s="292"/>
      <c r="H94" s="293">
        <f t="shared" si="1"/>
        <v>7.9298400000000004</v>
      </c>
      <c r="J94" s="143">
        <f>+'Tabel 2025 52 weken incl. 27'!J94</f>
        <v>0.72199999999999998</v>
      </c>
      <c r="K94" s="141"/>
      <c r="L94" s="295">
        <f t="shared" si="2"/>
        <v>4.3073799999999984</v>
      </c>
      <c r="M94" s="294"/>
      <c r="N94" s="295">
        <f t="shared" si="3"/>
        <v>4.2265600000000001</v>
      </c>
    </row>
    <row r="95" spans="1:14" ht="15">
      <c r="A95" s="199">
        <f>+'Tabel 2025 52 weken incl. 27'!A95</f>
        <v>204108</v>
      </c>
      <c r="B95" s="199">
        <f>+'Tabel 2025 52 weken incl. 27'!B95</f>
        <v>207845</v>
      </c>
      <c r="D95" s="142">
        <f>+'Tabel 2025 52 weken incl. 27'!D95</f>
        <v>0.33300000000000002</v>
      </c>
      <c r="E95" s="140"/>
      <c r="F95" s="293">
        <f t="shared" si="0"/>
        <v>8.4735699999999987</v>
      </c>
      <c r="G95" s="292"/>
      <c r="H95" s="293">
        <f t="shared" si="1"/>
        <v>7.9298400000000004</v>
      </c>
      <c r="J95" s="143">
        <f>+'Tabel 2025 52 weken incl. 27'!J95</f>
        <v>0.71399999999999997</v>
      </c>
      <c r="K95" s="141"/>
      <c r="L95" s="295">
        <f t="shared" si="2"/>
        <v>4.3930599999999984</v>
      </c>
      <c r="M95" s="294"/>
      <c r="N95" s="295">
        <f t="shared" si="3"/>
        <v>4.3027200000000008</v>
      </c>
    </row>
    <row r="96" spans="1:14" ht="15">
      <c r="A96" s="199">
        <f>+'Tabel 2025 52 weken incl. 27'!A96</f>
        <v>207846</v>
      </c>
      <c r="B96" s="199">
        <f>+'Tabel 2025 52 weken incl. 27'!B96</f>
        <v>211586</v>
      </c>
      <c r="D96" s="142">
        <f>+'Tabel 2025 52 weken incl. 27'!D96</f>
        <v>0.33300000000000002</v>
      </c>
      <c r="E96" s="140"/>
      <c r="F96" s="293">
        <f t="shared" si="0"/>
        <v>8.4735699999999987</v>
      </c>
      <c r="G96" s="292"/>
      <c r="H96" s="293">
        <f t="shared" si="1"/>
        <v>7.9298400000000004</v>
      </c>
      <c r="J96" s="143">
        <f>+'Tabel 2025 52 weken incl. 27'!J96</f>
        <v>0.70699999999999996</v>
      </c>
      <c r="K96" s="141"/>
      <c r="L96" s="295">
        <f t="shared" si="2"/>
        <v>4.4680299999999988</v>
      </c>
      <c r="M96" s="294"/>
      <c r="N96" s="295">
        <f t="shared" si="3"/>
        <v>4.3693600000000004</v>
      </c>
    </row>
    <row r="97" spans="1:14" ht="15">
      <c r="A97" s="199">
        <f>+'Tabel 2025 52 weken incl. 27'!A97</f>
        <v>211587</v>
      </c>
      <c r="B97" s="199">
        <f>+'Tabel 2025 52 weken incl. 27'!B97</f>
        <v>215327</v>
      </c>
      <c r="D97" s="142">
        <f>+'Tabel 2025 52 weken incl. 27'!D97</f>
        <v>0.33300000000000002</v>
      </c>
      <c r="E97" s="140"/>
      <c r="F97" s="293">
        <f t="shared" si="0"/>
        <v>8.4735699999999987</v>
      </c>
      <c r="G97" s="292"/>
      <c r="H97" s="293">
        <f t="shared" si="1"/>
        <v>7.9298400000000004</v>
      </c>
      <c r="J97" s="143">
        <f>+'Tabel 2025 52 weken incl. 27'!J97</f>
        <v>0.70099999999999996</v>
      </c>
      <c r="K97" s="141"/>
      <c r="L97" s="295">
        <f t="shared" si="2"/>
        <v>4.5322899999999988</v>
      </c>
      <c r="M97" s="294"/>
      <c r="N97" s="295">
        <f t="shared" si="3"/>
        <v>4.4264799999999997</v>
      </c>
    </row>
    <row r="98" spans="1:14" ht="15">
      <c r="A98" s="199">
        <f>+'Tabel 2025 52 weken incl. 27'!A98</f>
        <v>215328</v>
      </c>
      <c r="B98" s="199">
        <f>+'Tabel 2025 52 weken incl. 27'!B98</f>
        <v>219065</v>
      </c>
      <c r="D98" s="142">
        <f>+'Tabel 2025 52 weken incl. 27'!D98</f>
        <v>0.33300000000000002</v>
      </c>
      <c r="E98" s="140"/>
      <c r="F98" s="293">
        <f t="shared" ref="F98:F101" si="4">IF($D$19&gt;=$F$28,($F$28*(100%-D98))+($F$19),$D$19*(100%-D98)+$F$19)</f>
        <v>8.4735699999999987</v>
      </c>
      <c r="G98" s="292"/>
      <c r="H98" s="293">
        <f t="shared" ref="H98:H101" si="5">IF($D$20&gt;=$H$28,($H$28*(100%-D98))+($F$20),$D$20*(100%-D98)+($F$20))</f>
        <v>7.9298400000000004</v>
      </c>
      <c r="J98" s="143">
        <f>+'Tabel 2025 52 weken incl. 27'!J98</f>
        <v>0.69299999999999995</v>
      </c>
      <c r="K98" s="141"/>
      <c r="L98" s="295">
        <f t="shared" ref="L98:L101" si="6">IF($D$19&gt;=$L$28,($L$28*(100%-J98))+(F$19),$D$19*(100%-J98)+$F$19)</f>
        <v>4.6179699999999997</v>
      </c>
      <c r="M98" s="294"/>
      <c r="N98" s="295">
        <f t="shared" ref="N98:N101" si="7">IF($D$20&gt;=$H$28,($H$28*(100%-J98))+($F$20),$D$20*(100%-J98)+($F$20))</f>
        <v>4.5026400000000004</v>
      </c>
    </row>
    <row r="99" spans="1:14" ht="15">
      <c r="A99" s="199">
        <f>+'Tabel 2025 52 weken incl. 27'!A99</f>
        <v>219066</v>
      </c>
      <c r="B99" s="199">
        <f>+'Tabel 2025 52 weken incl. 27'!B99</f>
        <v>222806</v>
      </c>
      <c r="D99" s="142">
        <f>+'Tabel 2025 52 weken incl. 27'!D99</f>
        <v>0.33300000000000002</v>
      </c>
      <c r="E99" s="140"/>
      <c r="F99" s="293">
        <f t="shared" si="4"/>
        <v>8.4735699999999987</v>
      </c>
      <c r="G99" s="292"/>
      <c r="H99" s="293">
        <f t="shared" si="5"/>
        <v>7.9298400000000004</v>
      </c>
      <c r="J99" s="143">
        <f>+'Tabel 2025 52 weken incl. 27'!J99</f>
        <v>0.68500000000000005</v>
      </c>
      <c r="K99" s="141"/>
      <c r="L99" s="295">
        <f t="shared" si="6"/>
        <v>4.7036499999999979</v>
      </c>
      <c r="M99" s="294"/>
      <c r="N99" s="295">
        <f t="shared" si="7"/>
        <v>4.5787999999999993</v>
      </c>
    </row>
    <row r="100" spans="1:14" ht="15">
      <c r="A100" s="199">
        <f>+'Tabel 2025 52 weken incl. 27'!A100</f>
        <v>222807</v>
      </c>
      <c r="B100" s="199">
        <f>+'Tabel 2025 52 weken incl. 27'!B100</f>
        <v>226545</v>
      </c>
      <c r="D100" s="142">
        <f>+'Tabel 2025 52 weken incl. 27'!D100</f>
        <v>0.33300000000000002</v>
      </c>
      <c r="E100" s="140"/>
      <c r="F100" s="293">
        <f t="shared" si="4"/>
        <v>8.4735699999999987</v>
      </c>
      <c r="G100" s="292"/>
      <c r="H100" s="293">
        <f t="shared" si="5"/>
        <v>7.9298400000000004</v>
      </c>
      <c r="J100" s="143">
        <f>+'Tabel 2025 52 weken incl. 27'!J100</f>
        <v>0.68</v>
      </c>
      <c r="K100" s="141"/>
      <c r="L100" s="295">
        <f t="shared" si="6"/>
        <v>4.7571999999999974</v>
      </c>
      <c r="M100" s="294"/>
      <c r="N100" s="295">
        <f t="shared" si="7"/>
        <v>4.6263999999999994</v>
      </c>
    </row>
    <row r="101" spans="1:14" ht="15">
      <c r="A101" s="199">
        <f>+'Tabel 2025 52 weken incl. 27'!A101</f>
        <v>226546</v>
      </c>
      <c r="B101" s="199" t="str">
        <f>+'Tabel 2025 52 weken incl. 27'!B101</f>
        <v>en hoger</v>
      </c>
      <c r="D101" s="142">
        <f>+'Tabel 2025 52 weken incl. 27'!D101</f>
        <v>0.33300000000000002</v>
      </c>
      <c r="E101" s="140"/>
      <c r="F101" s="293">
        <f t="shared" si="4"/>
        <v>8.4735699999999987</v>
      </c>
      <c r="G101" s="292"/>
      <c r="H101" s="293">
        <f t="shared" si="5"/>
        <v>7.9298400000000004</v>
      </c>
      <c r="J101" s="143">
        <f>+'Tabel 2025 52 weken incl. 27'!J101</f>
        <v>0.67100000000000004</v>
      </c>
      <c r="K101" s="141"/>
      <c r="L101" s="295">
        <f t="shared" si="6"/>
        <v>4.8535899999999987</v>
      </c>
      <c r="M101" s="294"/>
      <c r="N101" s="295">
        <f t="shared" si="7"/>
        <v>4.7120799999999994</v>
      </c>
    </row>
    <row r="103" spans="1:14">
      <c r="F103" s="80">
        <f>SUM(F33:F101)</f>
        <v>348.03887999999984</v>
      </c>
      <c r="H103" s="80">
        <f>SUM(H33:H101)</f>
        <v>336.81456000000026</v>
      </c>
      <c r="J103" s="80"/>
      <c r="L103" s="80">
        <f>SUM(L33:L101)</f>
        <v>191.12666999999988</v>
      </c>
      <c r="N103" s="80">
        <f>SUM(N33:N101)</f>
        <v>197.33703999999997</v>
      </c>
    </row>
    <row r="104" spans="1:14">
      <c r="A104" s="321">
        <f>+SUM(A33:B101)+SUM(D33:D101)+SUM(J33:J101)</f>
        <v>14882092.795</v>
      </c>
      <c r="B104" s="321"/>
    </row>
    <row r="105" spans="1:14">
      <c r="A105" s="107"/>
    </row>
    <row r="106" spans="1:14">
      <c r="A106" s="107"/>
    </row>
    <row r="110" spans="1:14" ht="15.75">
      <c r="A110" s="136"/>
      <c r="B110" s="137"/>
      <c r="C110" s="135"/>
      <c r="D110" s="135"/>
    </row>
    <row r="111" spans="1:14" ht="15.75">
      <c r="A111" s="137"/>
      <c r="B111" s="137"/>
      <c r="C111" s="135"/>
      <c r="D111" s="135"/>
    </row>
    <row r="112" spans="1:14" ht="15.75">
      <c r="A112" s="137"/>
      <c r="B112" s="137"/>
      <c r="C112" s="135"/>
      <c r="D112" s="135"/>
    </row>
    <row r="113" spans="1:10" ht="15.75">
      <c r="A113" s="137"/>
      <c r="B113" s="137"/>
      <c r="C113" s="135"/>
      <c r="D113" s="135"/>
    </row>
    <row r="114" spans="1:10" ht="15.75">
      <c r="A114" s="137"/>
      <c r="B114" s="137"/>
      <c r="C114" s="135"/>
      <c r="D114" s="135"/>
    </row>
    <row r="115" spans="1:10" ht="15.75">
      <c r="A115" s="137"/>
      <c r="B115" s="137"/>
      <c r="C115" s="135"/>
      <c r="D115" s="135"/>
      <c r="F115"/>
      <c r="H115"/>
      <c r="J115"/>
    </row>
    <row r="116" spans="1:10" ht="15.75">
      <c r="A116" s="137"/>
      <c r="B116" s="137"/>
      <c r="C116" s="135"/>
      <c r="D116" s="135"/>
      <c r="F116"/>
      <c r="H116"/>
      <c r="J116"/>
    </row>
    <row r="117" spans="1:10" ht="15.75">
      <c r="A117" s="137"/>
      <c r="B117" s="137"/>
      <c r="C117" s="135"/>
      <c r="D117" s="135"/>
      <c r="F117"/>
      <c r="H117"/>
      <c r="J117"/>
    </row>
    <row r="118" spans="1:10" ht="15.75">
      <c r="A118" s="137"/>
      <c r="B118" s="137"/>
      <c r="C118" s="135"/>
      <c r="D118" s="135"/>
      <c r="F118"/>
      <c r="H118"/>
      <c r="J118"/>
    </row>
    <row r="119" spans="1:10" ht="15.75">
      <c r="A119" s="137"/>
      <c r="B119" s="137"/>
      <c r="C119" s="135"/>
      <c r="D119" s="135"/>
      <c r="F119"/>
      <c r="H119"/>
      <c r="J119"/>
    </row>
    <row r="120" spans="1:10" ht="15.75">
      <c r="A120" s="137"/>
      <c r="B120" s="137"/>
      <c r="C120" s="135"/>
      <c r="D120" s="135"/>
      <c r="F120"/>
      <c r="H120"/>
      <c r="J120"/>
    </row>
    <row r="121" spans="1:10" ht="15.75">
      <c r="A121" s="137"/>
      <c r="B121" s="137"/>
      <c r="C121" s="135"/>
      <c r="D121" s="135"/>
      <c r="F121"/>
      <c r="H121"/>
      <c r="J121"/>
    </row>
    <row r="122" spans="1:10" ht="15.75">
      <c r="A122" s="137"/>
      <c r="B122" s="137"/>
      <c r="C122" s="135"/>
      <c r="D122" s="135"/>
      <c r="F122"/>
      <c r="H122"/>
      <c r="J122"/>
    </row>
    <row r="123" spans="1:10" ht="15.75">
      <c r="A123" s="137"/>
      <c r="B123" s="137"/>
      <c r="C123" s="135"/>
      <c r="D123" s="135"/>
      <c r="F123"/>
      <c r="H123"/>
      <c r="J123"/>
    </row>
    <row r="124" spans="1:10" ht="15.75">
      <c r="A124" s="137"/>
      <c r="B124" s="137"/>
      <c r="C124" s="135"/>
      <c r="D124" s="135"/>
      <c r="F124"/>
      <c r="H124"/>
      <c r="J124"/>
    </row>
    <row r="125" spans="1:10" ht="15.75">
      <c r="A125" s="137"/>
      <c r="B125" s="137"/>
      <c r="C125" s="135"/>
      <c r="D125" s="135"/>
      <c r="F125"/>
      <c r="H125"/>
      <c r="J125"/>
    </row>
    <row r="126" spans="1:10" ht="15.75">
      <c r="A126" s="137"/>
      <c r="B126" s="137"/>
      <c r="C126" s="135"/>
      <c r="D126" s="135"/>
      <c r="F126"/>
      <c r="H126"/>
      <c r="J126"/>
    </row>
    <row r="127" spans="1:10" ht="15.75">
      <c r="A127" s="137"/>
      <c r="B127" s="137"/>
      <c r="C127" s="135"/>
      <c r="D127" s="135"/>
      <c r="F127"/>
      <c r="H127"/>
      <c r="J127"/>
    </row>
    <row r="128" spans="1:10" ht="15.75">
      <c r="A128" s="137"/>
      <c r="B128" s="137"/>
      <c r="C128" s="135"/>
      <c r="D128" s="135"/>
      <c r="F128"/>
      <c r="H128"/>
      <c r="J128"/>
    </row>
    <row r="129" spans="1:10" ht="15.75">
      <c r="A129" s="137"/>
      <c r="B129" s="137"/>
      <c r="C129" s="135"/>
      <c r="D129" s="135"/>
      <c r="F129"/>
      <c r="H129"/>
      <c r="J129"/>
    </row>
    <row r="130" spans="1:10" ht="15.75">
      <c r="A130" s="137"/>
      <c r="B130" s="137"/>
      <c r="C130" s="135"/>
      <c r="D130" s="135"/>
      <c r="F130"/>
      <c r="H130"/>
      <c r="J130"/>
    </row>
    <row r="131" spans="1:10" ht="15.75">
      <c r="A131" s="137"/>
      <c r="B131" s="137"/>
      <c r="C131" s="135"/>
      <c r="D131" s="135"/>
      <c r="F131"/>
      <c r="H131"/>
      <c r="J131"/>
    </row>
    <row r="132" spans="1:10" ht="15.75">
      <c r="A132" s="137"/>
      <c r="B132" s="137"/>
      <c r="C132" s="135"/>
      <c r="D132" s="135"/>
      <c r="F132"/>
      <c r="H132"/>
      <c r="J132"/>
    </row>
    <row r="133" spans="1:10" ht="15.75">
      <c r="A133" s="137"/>
      <c r="B133" s="137"/>
      <c r="C133" s="135"/>
      <c r="D133" s="135"/>
      <c r="F133"/>
      <c r="H133"/>
      <c r="J133"/>
    </row>
    <row r="134" spans="1:10" ht="15.75">
      <c r="A134" s="137"/>
      <c r="B134" s="137"/>
      <c r="C134" s="135"/>
      <c r="D134" s="135"/>
      <c r="F134"/>
      <c r="H134"/>
      <c r="J134"/>
    </row>
    <row r="135" spans="1:10" ht="15.75">
      <c r="A135" s="137"/>
      <c r="B135" s="137"/>
      <c r="C135" s="135"/>
      <c r="D135" s="135"/>
      <c r="F135"/>
      <c r="H135"/>
      <c r="J135"/>
    </row>
    <row r="136" spans="1:10" ht="15.75">
      <c r="A136" s="137"/>
      <c r="B136" s="137"/>
      <c r="C136" s="135"/>
      <c r="D136" s="135"/>
      <c r="F136"/>
      <c r="H136"/>
      <c r="J136"/>
    </row>
    <row r="137" spans="1:10" ht="15.75">
      <c r="A137" s="137"/>
      <c r="B137" s="137"/>
      <c r="C137" s="135"/>
      <c r="D137" s="135"/>
      <c r="F137"/>
      <c r="H137"/>
      <c r="J137"/>
    </row>
    <row r="138" spans="1:10" ht="15.75">
      <c r="A138" s="137"/>
      <c r="B138" s="137"/>
      <c r="C138" s="135"/>
      <c r="D138" s="135"/>
      <c r="F138"/>
      <c r="H138"/>
      <c r="J138"/>
    </row>
    <row r="139" spans="1:10" ht="15.75">
      <c r="A139" s="137"/>
      <c r="B139" s="137"/>
      <c r="C139" s="135"/>
      <c r="D139" s="135"/>
      <c r="F139"/>
      <c r="H139"/>
      <c r="J139"/>
    </row>
    <row r="140" spans="1:10" ht="15.75">
      <c r="A140" s="137"/>
      <c r="B140" s="137"/>
      <c r="C140" s="135"/>
      <c r="D140" s="135"/>
      <c r="F140"/>
      <c r="H140"/>
      <c r="J140"/>
    </row>
    <row r="141" spans="1:10" ht="15.75">
      <c r="A141" s="137"/>
      <c r="B141" s="137"/>
      <c r="C141" s="135"/>
      <c r="D141" s="135"/>
      <c r="F141"/>
      <c r="H141"/>
      <c r="J141"/>
    </row>
    <row r="142" spans="1:10" ht="15.75">
      <c r="A142" s="137"/>
      <c r="B142" s="137"/>
      <c r="C142" s="135"/>
      <c r="D142" s="135"/>
      <c r="F142"/>
      <c r="H142"/>
      <c r="J142"/>
    </row>
    <row r="143" spans="1:10" ht="15.75">
      <c r="A143" s="137"/>
      <c r="B143" s="137"/>
      <c r="C143" s="135"/>
      <c r="D143" s="135"/>
      <c r="F143"/>
      <c r="H143"/>
      <c r="J143"/>
    </row>
    <row r="144" spans="1:10" ht="15.75">
      <c r="A144" s="137"/>
      <c r="B144" s="137"/>
      <c r="C144" s="135"/>
      <c r="D144" s="135"/>
      <c r="F144"/>
      <c r="H144"/>
      <c r="J144"/>
    </row>
    <row r="145" spans="1:10" ht="15.75">
      <c r="A145" s="137"/>
      <c r="B145" s="137"/>
      <c r="C145" s="135"/>
      <c r="D145" s="135"/>
      <c r="F145"/>
      <c r="H145"/>
      <c r="J145"/>
    </row>
    <row r="146" spans="1:10" ht="15.75">
      <c r="A146" s="137"/>
      <c r="B146" s="137"/>
      <c r="C146" s="135"/>
      <c r="D146" s="135"/>
      <c r="F146"/>
      <c r="H146"/>
      <c r="J146"/>
    </row>
    <row r="147" spans="1:10" ht="15.75">
      <c r="A147" s="137"/>
      <c r="B147" s="137"/>
      <c r="C147" s="135"/>
      <c r="D147" s="135"/>
      <c r="F147"/>
      <c r="H147"/>
      <c r="J147"/>
    </row>
    <row r="148" spans="1:10" ht="15.75">
      <c r="A148" s="137"/>
      <c r="B148" s="137"/>
      <c r="C148" s="135"/>
      <c r="D148" s="135"/>
      <c r="F148"/>
      <c r="H148"/>
      <c r="J148"/>
    </row>
    <row r="149" spans="1:10" ht="15.75">
      <c r="A149" s="137"/>
      <c r="B149" s="137"/>
      <c r="C149" s="135"/>
      <c r="D149" s="135"/>
      <c r="F149"/>
      <c r="H149"/>
      <c r="J149"/>
    </row>
    <row r="150" spans="1:10" ht="15.75">
      <c r="A150" s="138"/>
      <c r="B150" s="139"/>
      <c r="C150" s="135"/>
      <c r="D150" s="135"/>
      <c r="F150"/>
      <c r="H150"/>
      <c r="J150"/>
    </row>
    <row r="151" spans="1:10" ht="15.75">
      <c r="A151" s="139"/>
      <c r="B151" s="139"/>
      <c r="C151" s="135"/>
      <c r="D151" s="135"/>
      <c r="F151"/>
      <c r="H151"/>
      <c r="J151"/>
    </row>
    <row r="152" spans="1:10" ht="15.75">
      <c r="A152" s="139"/>
      <c r="B152" s="139"/>
      <c r="C152" s="135"/>
      <c r="D152" s="135"/>
      <c r="F152"/>
      <c r="H152"/>
      <c r="J152"/>
    </row>
    <row r="153" spans="1:10" ht="15.75">
      <c r="A153" s="139"/>
      <c r="B153" s="139"/>
      <c r="C153" s="135"/>
      <c r="D153" s="135"/>
      <c r="F153"/>
      <c r="H153"/>
      <c r="J153"/>
    </row>
    <row r="154" spans="1:10" ht="15.75">
      <c r="A154" s="139"/>
      <c r="B154" s="139"/>
      <c r="C154" s="135"/>
      <c r="D154" s="135"/>
      <c r="F154"/>
      <c r="H154"/>
      <c r="J154"/>
    </row>
    <row r="155" spans="1:10" ht="15.75">
      <c r="A155" s="139"/>
      <c r="B155" s="139"/>
      <c r="C155" s="135"/>
      <c r="D155" s="135"/>
      <c r="F155"/>
      <c r="H155"/>
      <c r="J155"/>
    </row>
    <row r="156" spans="1:10" ht="15.75">
      <c r="A156" s="139"/>
      <c r="B156" s="139"/>
      <c r="C156" s="135"/>
      <c r="D156" s="135"/>
      <c r="F156"/>
      <c r="H156"/>
      <c r="J156"/>
    </row>
    <row r="157" spans="1:10" ht="15.75">
      <c r="A157" s="139"/>
      <c r="B157" s="139"/>
      <c r="C157" s="135"/>
      <c r="D157" s="135"/>
      <c r="F157"/>
      <c r="H157"/>
      <c r="J157"/>
    </row>
    <row r="158" spans="1:10" ht="15.75">
      <c r="A158" s="139"/>
      <c r="B158" s="139"/>
      <c r="C158" s="135"/>
      <c r="D158" s="135"/>
      <c r="F158"/>
      <c r="H158"/>
      <c r="J158"/>
    </row>
    <row r="159" spans="1:10" ht="15.75">
      <c r="A159" s="139"/>
      <c r="B159" s="139"/>
      <c r="C159" s="135"/>
      <c r="D159" s="135"/>
      <c r="F159"/>
      <c r="H159"/>
      <c r="J159"/>
    </row>
    <row r="160" spans="1:10" ht="15.75">
      <c r="A160" s="139"/>
      <c r="B160" s="139"/>
      <c r="C160" s="135"/>
      <c r="D160" s="135"/>
      <c r="F160"/>
      <c r="H160"/>
      <c r="J160"/>
    </row>
    <row r="161" spans="1:10" ht="15.75">
      <c r="A161" s="139"/>
      <c r="B161" s="139"/>
      <c r="C161" s="135"/>
      <c r="D161" s="135"/>
      <c r="F161"/>
      <c r="H161"/>
      <c r="J161"/>
    </row>
    <row r="162" spans="1:10" ht="15.75">
      <c r="A162" s="139"/>
      <c r="B162" s="139"/>
      <c r="C162" s="135"/>
      <c r="D162" s="135"/>
      <c r="F162"/>
      <c r="H162"/>
      <c r="J162"/>
    </row>
    <row r="163" spans="1:10" ht="15.75">
      <c r="A163" s="139"/>
      <c r="B163" s="139"/>
      <c r="C163" s="135"/>
      <c r="D163" s="135"/>
      <c r="F163"/>
      <c r="H163"/>
      <c r="J163"/>
    </row>
    <row r="164" spans="1:10" ht="15.75">
      <c r="A164" s="139"/>
      <c r="B164" s="139"/>
      <c r="C164" s="135"/>
      <c r="D164" s="135"/>
      <c r="F164"/>
      <c r="H164"/>
      <c r="J164"/>
    </row>
    <row r="165" spans="1:10" ht="15.75">
      <c r="A165" s="139"/>
      <c r="B165" s="139"/>
      <c r="C165" s="135"/>
      <c r="D165" s="135"/>
      <c r="F165"/>
      <c r="H165"/>
      <c r="J165"/>
    </row>
    <row r="166" spans="1:10" ht="15.75">
      <c r="A166" s="139"/>
      <c r="B166" s="139"/>
      <c r="C166" s="135"/>
      <c r="D166" s="135"/>
      <c r="F166"/>
      <c r="H166"/>
      <c r="J166"/>
    </row>
    <row r="167" spans="1:10" ht="15.75">
      <c r="A167" s="139"/>
      <c r="B167" s="138"/>
      <c r="C167" s="135"/>
      <c r="D167" s="135"/>
      <c r="F167"/>
      <c r="H167"/>
      <c r="J167"/>
    </row>
    <row r="168" spans="1:10" ht="15.75">
      <c r="A168" s="139"/>
      <c r="B168" s="139"/>
      <c r="C168" s="135"/>
      <c r="D168" s="135"/>
      <c r="F168"/>
      <c r="H168"/>
      <c r="J168"/>
    </row>
    <row r="169" spans="1:10" ht="15.75">
      <c r="A169" s="139"/>
      <c r="B169" s="139"/>
      <c r="C169" s="135"/>
      <c r="D169" s="135"/>
      <c r="F169"/>
      <c r="H169"/>
      <c r="J169"/>
    </row>
    <row r="170" spans="1:10" ht="15.75">
      <c r="A170" s="139"/>
      <c r="B170" s="139"/>
      <c r="C170" s="135"/>
      <c r="D170" s="135"/>
      <c r="F170"/>
      <c r="H170"/>
      <c r="J170"/>
    </row>
    <row r="171" spans="1:10" ht="15.75">
      <c r="A171" s="139"/>
      <c r="B171" s="139"/>
      <c r="C171" s="135"/>
      <c r="D171" s="135"/>
      <c r="F171"/>
      <c r="H171"/>
      <c r="J171"/>
    </row>
    <row r="172" spans="1:10" ht="15.75">
      <c r="A172" s="139"/>
      <c r="B172" s="139"/>
      <c r="C172" s="135"/>
      <c r="D172" s="135"/>
      <c r="F172"/>
      <c r="H172"/>
      <c r="J172"/>
    </row>
    <row r="173" spans="1:10" ht="15.75">
      <c r="A173" s="139"/>
      <c r="B173" s="139"/>
      <c r="C173" s="135"/>
      <c r="D173" s="135"/>
      <c r="F173"/>
      <c r="H173"/>
      <c r="J173"/>
    </row>
    <row r="174" spans="1:10" ht="15.75">
      <c r="A174" s="139"/>
      <c r="B174" s="139"/>
      <c r="C174" s="135"/>
      <c r="D174" s="135"/>
      <c r="F174"/>
      <c r="H174"/>
      <c r="J174"/>
    </row>
    <row r="175" spans="1:10" ht="15.75">
      <c r="A175" s="139"/>
      <c r="B175" s="139"/>
      <c r="C175" s="135"/>
      <c r="D175" s="135"/>
      <c r="F175"/>
      <c r="H175"/>
      <c r="J175"/>
    </row>
    <row r="176" spans="1:10" ht="15.75">
      <c r="A176" s="139"/>
      <c r="B176" s="139"/>
      <c r="C176" s="135"/>
      <c r="D176" s="135"/>
      <c r="F176"/>
      <c r="H176"/>
      <c r="J176"/>
    </row>
    <row r="177" spans="1:10" ht="15.75">
      <c r="A177" s="139"/>
      <c r="B177" s="139"/>
      <c r="C177" s="135"/>
      <c r="D177" s="135"/>
      <c r="F177"/>
      <c r="H177"/>
      <c r="J177"/>
    </row>
    <row r="178" spans="1:10" ht="15.75">
      <c r="A178" s="139"/>
      <c r="B178" s="136"/>
      <c r="C178" s="135"/>
      <c r="D178" s="135"/>
      <c r="F178"/>
      <c r="H178"/>
      <c r="J178"/>
    </row>
  </sheetData>
  <mergeCells count="4">
    <mergeCell ref="A24:B24"/>
    <mergeCell ref="D24:H24"/>
    <mergeCell ref="J24:N24"/>
    <mergeCell ref="A104:B10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D5"/>
  <sheetViews>
    <sheetView workbookViewId="0">
      <selection activeCell="A3" sqref="A3"/>
    </sheetView>
  </sheetViews>
  <sheetFormatPr defaultRowHeight="12.75"/>
  <cols>
    <col min="1" max="1" width="32.7109375" bestFit="1" customWidth="1"/>
    <col min="2" max="2" width="49.42578125" bestFit="1" customWidth="1"/>
    <col min="4" max="4" width="21.28515625" customWidth="1"/>
  </cols>
  <sheetData>
    <row r="2" spans="1:4" ht="15">
      <c r="A2" s="301" t="s">
        <v>80</v>
      </c>
    </row>
    <row r="3" spans="1:4" ht="15">
      <c r="A3" s="306" t="s">
        <v>81</v>
      </c>
      <c r="B3" s="305"/>
      <c r="D3" s="305" t="s">
        <v>82</v>
      </c>
    </row>
    <row r="4" spans="1:4" ht="15">
      <c r="A4" s="304" t="s">
        <v>83</v>
      </c>
      <c r="B4" s="305"/>
      <c r="D4" s="305" t="s">
        <v>82</v>
      </c>
    </row>
    <row r="5" spans="1:4" ht="15">
      <c r="A5" s="265"/>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I461"/>
  <sheetViews>
    <sheetView zoomScaleNormal="100" workbookViewId="0">
      <selection activeCell="N81" sqref="N81"/>
    </sheetView>
  </sheetViews>
  <sheetFormatPr defaultRowHeight="12.75" outlineLevelRow="2"/>
  <cols>
    <col min="1" max="1" width="4.42578125" customWidth="1"/>
    <col min="3" max="3" width="14.7109375" bestFit="1" customWidth="1"/>
    <col min="4" max="4" width="14.140625" customWidth="1"/>
    <col min="5" max="8" width="12.5703125" style="13" customWidth="1"/>
    <col min="9" max="9" width="12.28515625" style="13" customWidth="1"/>
    <col min="10" max="10" width="12.5703125" style="13" bestFit="1" customWidth="1"/>
    <col min="11" max="14" width="12" style="13" customWidth="1"/>
    <col min="15" max="15" width="16.5703125" style="13" customWidth="1"/>
    <col min="16" max="16" width="12.7109375" style="13" bestFit="1" customWidth="1"/>
    <col min="17" max="17" width="14" style="13" bestFit="1" customWidth="1"/>
    <col min="18" max="18" width="12.7109375" style="13" bestFit="1" customWidth="1"/>
    <col min="19" max="19" width="14" style="13" bestFit="1" customWidth="1"/>
    <col min="20" max="20" width="9.28515625" customWidth="1"/>
    <col min="21" max="21" width="1.140625" customWidth="1"/>
    <col min="22" max="22" width="11.28515625" customWidth="1"/>
    <col min="23" max="23" width="10.28515625" style="14" customWidth="1"/>
    <col min="24" max="24" width="1.42578125" style="14" customWidth="1"/>
    <col min="25" max="25" width="9.28515625" bestFit="1" customWidth="1"/>
    <col min="26" max="28" width="9.85546875" bestFit="1" customWidth="1"/>
    <col min="29" max="29" width="9.7109375" bestFit="1" customWidth="1"/>
    <col min="30" max="30" width="1.7109375" customWidth="1"/>
  </cols>
  <sheetData>
    <row r="2" spans="2:35">
      <c r="U2" s="16" t="s">
        <v>84</v>
      </c>
      <c r="V2" s="30">
        <v>6.28</v>
      </c>
      <c r="W2" s="17">
        <v>12</v>
      </c>
      <c r="X2" s="17">
        <v>2</v>
      </c>
      <c r="Y2">
        <v>1</v>
      </c>
      <c r="Z2">
        <v>2</v>
      </c>
      <c r="AA2">
        <v>3</v>
      </c>
      <c r="AB2">
        <v>4</v>
      </c>
      <c r="AC2">
        <v>5</v>
      </c>
      <c r="AE2">
        <v>1</v>
      </c>
      <c r="AF2">
        <v>2</v>
      </c>
      <c r="AG2">
        <v>3</v>
      </c>
      <c r="AH2">
        <v>4</v>
      </c>
      <c r="AI2">
        <v>5</v>
      </c>
    </row>
    <row r="3" spans="2:35" ht="13.5" hidden="1" outlineLevel="1" thickBot="1">
      <c r="T3" s="16" t="s">
        <v>85</v>
      </c>
      <c r="U3" s="16"/>
      <c r="V3" s="15"/>
      <c r="W3" s="17"/>
      <c r="X3" s="17"/>
      <c r="Y3" s="32" t="s">
        <v>86</v>
      </c>
      <c r="Z3" s="32"/>
      <c r="AA3" s="32"/>
      <c r="AB3" s="32"/>
      <c r="AC3" s="32"/>
      <c r="AE3" s="32" t="s">
        <v>87</v>
      </c>
      <c r="AF3" s="32"/>
      <c r="AG3" s="32"/>
      <c r="AH3" s="32"/>
      <c r="AI3" s="32"/>
    </row>
    <row r="4" spans="2:35" hidden="1" outlineLevel="1">
      <c r="B4" s="67" t="s">
        <v>88</v>
      </c>
      <c r="C4" s="19"/>
      <c r="D4" s="19" t="s">
        <v>89</v>
      </c>
      <c r="E4" s="50" t="s">
        <v>90</v>
      </c>
      <c r="F4" s="50" t="s">
        <v>91</v>
      </c>
      <c r="G4" s="50" t="s">
        <v>92</v>
      </c>
      <c r="H4" s="50" t="s">
        <v>93</v>
      </c>
      <c r="I4" s="50"/>
      <c r="J4" s="50"/>
      <c r="K4" s="50"/>
      <c r="L4" s="51"/>
      <c r="M4" s="52"/>
      <c r="N4" s="52"/>
      <c r="O4" s="52"/>
      <c r="P4" s="52"/>
      <c r="Q4" s="52"/>
      <c r="R4" s="52"/>
      <c r="S4" s="52"/>
      <c r="T4" s="20"/>
      <c r="U4" s="21"/>
      <c r="V4" s="22"/>
      <c r="W4" s="23"/>
      <c r="X4" s="23"/>
      <c r="Y4" s="20"/>
      <c r="Z4" s="20"/>
      <c r="AA4" s="20"/>
      <c r="AB4" s="20"/>
      <c r="AC4" s="20"/>
    </row>
    <row r="5" spans="2:35" hidden="1" outlineLevel="1">
      <c r="B5" s="24" t="s">
        <v>94</v>
      </c>
      <c r="C5" s="20"/>
      <c r="D5" s="20">
        <v>1.5</v>
      </c>
      <c r="E5" s="52">
        <v>1.5</v>
      </c>
      <c r="F5" s="52">
        <v>1.5</v>
      </c>
      <c r="G5" s="52">
        <v>1.5</v>
      </c>
      <c r="H5" s="52">
        <v>1.5</v>
      </c>
      <c r="I5" s="52"/>
      <c r="J5" s="68">
        <f>SUM(D5:I5)*40</f>
        <v>300</v>
      </c>
      <c r="K5" s="52">
        <f>5*10.5*12</f>
        <v>630</v>
      </c>
      <c r="L5" s="53">
        <f>K5+J5</f>
        <v>930</v>
      </c>
      <c r="M5" s="52"/>
      <c r="N5" s="52"/>
      <c r="O5" s="52"/>
      <c r="P5" s="52"/>
      <c r="Q5" s="52"/>
      <c r="R5" s="52"/>
      <c r="S5" s="52"/>
      <c r="T5" s="25">
        <f>+L5/5</f>
        <v>186</v>
      </c>
      <c r="U5" s="20"/>
      <c r="V5" s="26">
        <f>+T5*$V$2</f>
        <v>1168.0800000000002</v>
      </c>
      <c r="W5" s="26">
        <f>+V5/$W$2</f>
        <v>97.340000000000018</v>
      </c>
      <c r="X5" s="26"/>
      <c r="Y5" s="26">
        <f>+W5*$Y$2</f>
        <v>97.340000000000018</v>
      </c>
      <c r="Z5" s="26">
        <f>+W5*$Z$2</f>
        <v>194.68000000000004</v>
      </c>
      <c r="AA5" s="26">
        <f>+W5*$AA$2</f>
        <v>292.02000000000004</v>
      </c>
      <c r="AB5" s="26">
        <f>+W5*$AB$2</f>
        <v>389.36000000000007</v>
      </c>
      <c r="AC5" s="26">
        <f>+W5*$AC$2</f>
        <v>486.7000000000001</v>
      </c>
      <c r="AE5" s="31">
        <f>+T5/12</f>
        <v>15.5</v>
      </c>
      <c r="AF5" s="10">
        <f>+AE5*$AF$2</f>
        <v>31</v>
      </c>
      <c r="AG5" s="10">
        <f>+AE5*$AG$2</f>
        <v>46.5</v>
      </c>
      <c r="AH5" s="10">
        <f>+AE5*$AH$2</f>
        <v>62</v>
      </c>
      <c r="AI5" s="10">
        <f>+AE5*$AI$2</f>
        <v>77.5</v>
      </c>
    </row>
    <row r="6" spans="2:35" hidden="1" outlineLevel="1">
      <c r="B6" s="24" t="s">
        <v>95</v>
      </c>
      <c r="C6" s="20"/>
      <c r="D6" s="20">
        <f>D5+D7</f>
        <v>4.5</v>
      </c>
      <c r="E6" s="52">
        <f>E5+E7</f>
        <v>4.5</v>
      </c>
      <c r="F6" s="52">
        <f>F5+F7</f>
        <v>7.5</v>
      </c>
      <c r="G6" s="52">
        <f>G5+G7</f>
        <v>4.5</v>
      </c>
      <c r="H6" s="52">
        <f>H5+H7</f>
        <v>4.5</v>
      </c>
      <c r="I6" s="52"/>
      <c r="J6" s="52">
        <f>SUM(D6:I6)*40</f>
        <v>1020</v>
      </c>
      <c r="K6" s="52">
        <f>5*10.5*12</f>
        <v>630</v>
      </c>
      <c r="L6" s="53">
        <f>K6+J6</f>
        <v>1650</v>
      </c>
      <c r="M6" s="52"/>
      <c r="N6" s="52"/>
      <c r="O6" s="52"/>
      <c r="P6" s="52"/>
      <c r="Q6" s="52"/>
      <c r="R6" s="52"/>
      <c r="S6" s="52"/>
      <c r="T6" s="25">
        <f>+L6/5</f>
        <v>330</v>
      </c>
      <c r="U6" s="20"/>
      <c r="V6" s="26">
        <f>+T6*$V$2</f>
        <v>2072.4</v>
      </c>
      <c r="W6" s="27">
        <f>+V6/$W$2</f>
        <v>172.70000000000002</v>
      </c>
      <c r="X6" s="26">
        <f>+W6/$X$2</f>
        <v>86.350000000000009</v>
      </c>
      <c r="Y6" s="26">
        <f>+W6*$Y$2</f>
        <v>172.70000000000002</v>
      </c>
      <c r="Z6" s="26">
        <f>+W6*$Z$2</f>
        <v>345.40000000000003</v>
      </c>
      <c r="AA6" s="26">
        <f>+W6*$AA$2</f>
        <v>518.1</v>
      </c>
      <c r="AB6" s="26">
        <f>+W6*$AB$2</f>
        <v>690.80000000000007</v>
      </c>
      <c r="AC6" s="26">
        <f>+W6*$AC$2</f>
        <v>863.50000000000011</v>
      </c>
      <c r="AE6" s="31">
        <f>+T6/12</f>
        <v>27.5</v>
      </c>
      <c r="AF6" s="10">
        <f t="shared" ref="AF6:AF7" si="0">+AE6*$AF$2</f>
        <v>55</v>
      </c>
      <c r="AG6" s="10">
        <f t="shared" ref="AG6:AG7" si="1">+AE6*$AG$2</f>
        <v>82.5</v>
      </c>
      <c r="AH6" s="10">
        <f t="shared" ref="AH6:AH7" si="2">+AE6*$AH$2</f>
        <v>110</v>
      </c>
      <c r="AI6" s="10">
        <f t="shared" ref="AI6:AI7" si="3">+AE6*$AI$2</f>
        <v>137.5</v>
      </c>
    </row>
    <row r="7" spans="2:35" hidden="1" outlineLevel="1">
      <c r="B7" s="24" t="s">
        <v>96</v>
      </c>
      <c r="C7" s="20"/>
      <c r="D7" s="20">
        <v>3</v>
      </c>
      <c r="E7" s="52">
        <v>3</v>
      </c>
      <c r="F7" s="52">
        <v>6</v>
      </c>
      <c r="G7" s="52">
        <v>3</v>
      </c>
      <c r="H7" s="52">
        <v>3</v>
      </c>
      <c r="I7" s="52"/>
      <c r="J7" s="52">
        <f>SUM(D7:I7)*40</f>
        <v>720</v>
      </c>
      <c r="K7" s="52">
        <f>5*10.5*12</f>
        <v>630</v>
      </c>
      <c r="L7" s="53">
        <f>K7+J7</f>
        <v>1350</v>
      </c>
      <c r="M7" s="52"/>
      <c r="N7" s="52"/>
      <c r="O7" s="52"/>
      <c r="P7" s="52"/>
      <c r="Q7" s="52"/>
      <c r="R7" s="52"/>
      <c r="S7" s="52"/>
      <c r="T7" s="25">
        <f>+L7/5</f>
        <v>270</v>
      </c>
      <c r="U7" s="20"/>
      <c r="V7" s="26">
        <f>+T7*$V$2</f>
        <v>1695.6000000000001</v>
      </c>
      <c r="W7" s="26">
        <f>+V7/$W$2</f>
        <v>141.30000000000001</v>
      </c>
      <c r="X7" s="26"/>
      <c r="Y7" s="26">
        <f>+W7*$Y$2</f>
        <v>141.30000000000001</v>
      </c>
      <c r="Z7" s="26">
        <f>+W7*$Z$2</f>
        <v>282.60000000000002</v>
      </c>
      <c r="AA7" s="26">
        <f>+W7*$AA$2</f>
        <v>423.90000000000003</v>
      </c>
      <c r="AB7" s="26">
        <f>+W7*$AB$2</f>
        <v>565.20000000000005</v>
      </c>
      <c r="AC7" s="26">
        <f>+W7*$AC$2</f>
        <v>706.5</v>
      </c>
      <c r="AE7" s="31">
        <f>+T7/12</f>
        <v>22.5</v>
      </c>
      <c r="AF7" s="10">
        <f t="shared" si="0"/>
        <v>45</v>
      </c>
      <c r="AG7" s="10">
        <f t="shared" si="1"/>
        <v>67.5</v>
      </c>
      <c r="AH7" s="10">
        <f t="shared" si="2"/>
        <v>90</v>
      </c>
      <c r="AI7" s="10">
        <f t="shared" si="3"/>
        <v>112.5</v>
      </c>
    </row>
    <row r="8" spans="2:35" ht="13.5" hidden="1" outlineLevel="1" thickBot="1">
      <c r="B8" s="28"/>
      <c r="C8" s="29"/>
      <c r="D8" s="29"/>
      <c r="E8" s="54"/>
      <c r="F8" s="54"/>
      <c r="G8" s="54"/>
      <c r="H8" s="54"/>
      <c r="I8" s="54"/>
      <c r="J8" s="54"/>
      <c r="K8" s="54" t="s">
        <v>97</v>
      </c>
      <c r="L8" s="55">
        <f>10%*L5+20%*L6+70%*L7</f>
        <v>1368</v>
      </c>
      <c r="M8" s="52"/>
      <c r="N8" s="52"/>
      <c r="O8" s="52"/>
      <c r="P8" s="52"/>
      <c r="Q8" s="52"/>
      <c r="R8" s="52"/>
      <c r="S8" s="52"/>
      <c r="T8" s="20"/>
      <c r="U8" s="20"/>
      <c r="V8" s="20"/>
      <c r="W8" s="26"/>
      <c r="X8" s="26"/>
      <c r="Y8" s="20"/>
      <c r="Z8" s="20"/>
      <c r="AA8" s="20"/>
      <c r="AB8" s="20"/>
      <c r="AC8" s="20"/>
    </row>
    <row r="9" spans="2:35" ht="25.5" hidden="1" outlineLevel="1">
      <c r="B9" s="20"/>
      <c r="C9" s="20"/>
      <c r="D9" s="20"/>
      <c r="E9" s="52"/>
      <c r="F9" s="52"/>
      <c r="G9" s="52"/>
      <c r="H9" s="52"/>
      <c r="I9" s="52"/>
      <c r="J9" s="52"/>
      <c r="K9" s="52"/>
      <c r="L9" s="52"/>
      <c r="M9" s="52"/>
      <c r="N9" s="155"/>
      <c r="O9" s="156"/>
      <c r="P9" s="157" t="s">
        <v>98</v>
      </c>
      <c r="Q9" s="157" t="s">
        <v>99</v>
      </c>
      <c r="R9" s="158" t="s">
        <v>100</v>
      </c>
      <c r="S9" s="52"/>
      <c r="T9" s="20"/>
      <c r="U9" s="20"/>
      <c r="V9" s="20"/>
      <c r="W9" s="26"/>
      <c r="X9" s="26"/>
      <c r="Y9" s="20"/>
      <c r="Z9" s="20"/>
      <c r="AA9" s="20"/>
      <c r="AB9" s="20"/>
      <c r="AC9" s="20"/>
    </row>
    <row r="10" spans="2:35" hidden="1" outlineLevel="1">
      <c r="B10" s="20"/>
      <c r="C10" s="20"/>
      <c r="D10" s="20"/>
      <c r="E10" s="52"/>
      <c r="F10" s="52"/>
      <c r="G10" s="52"/>
      <c r="H10" s="52"/>
      <c r="I10" s="52"/>
      <c r="J10" s="176" t="s">
        <v>101</v>
      </c>
      <c r="K10" s="177" t="s">
        <v>102</v>
      </c>
      <c r="L10" s="52"/>
      <c r="M10" s="52"/>
      <c r="N10" s="159"/>
      <c r="O10" t="s">
        <v>103</v>
      </c>
      <c r="P10"/>
      <c r="Q10" s="160">
        <v>0.05</v>
      </c>
      <c r="R10" s="161">
        <v>0.12</v>
      </c>
      <c r="S10" s="52"/>
      <c r="T10" s="20"/>
      <c r="U10" s="20"/>
      <c r="V10" s="20"/>
      <c r="W10" s="26"/>
      <c r="X10" s="26"/>
      <c r="Y10" s="20"/>
      <c r="Z10" s="20"/>
      <c r="AA10" s="20"/>
      <c r="AB10" s="20"/>
      <c r="AC10" s="20"/>
    </row>
    <row r="11" spans="2:35" hidden="1" outlineLevel="1">
      <c r="B11" s="20"/>
      <c r="C11" s="20"/>
      <c r="D11" s="20"/>
      <c r="E11" s="52"/>
      <c r="F11" s="52"/>
      <c r="G11" s="52"/>
      <c r="H11" s="52"/>
      <c r="I11" s="52"/>
      <c r="J11" s="115">
        <v>40</v>
      </c>
      <c r="K11" s="178">
        <f>52-J11</f>
        <v>12</v>
      </c>
      <c r="L11" s="52"/>
      <c r="M11" s="52"/>
      <c r="N11" s="162" t="s">
        <v>104</v>
      </c>
      <c r="O11" s="163">
        <v>1</v>
      </c>
      <c r="P11" s="164">
        <f>100%-Q11-R11</f>
        <v>0.15</v>
      </c>
      <c r="Q11" s="165">
        <v>0.75</v>
      </c>
      <c r="R11" s="166">
        <v>0.1</v>
      </c>
      <c r="S11" s="52"/>
      <c r="T11" s="20"/>
      <c r="U11" s="20"/>
      <c r="V11" s="20"/>
      <c r="W11" s="26"/>
      <c r="X11" s="26"/>
      <c r="Y11" s="20"/>
      <c r="Z11" s="20"/>
      <c r="AA11" s="20"/>
      <c r="AB11" s="20"/>
      <c r="AC11" s="20"/>
    </row>
    <row r="12" spans="2:35" ht="13.5" hidden="1" outlineLevel="1" thickBot="1">
      <c r="B12" s="20"/>
      <c r="C12" s="20"/>
      <c r="D12" s="20"/>
      <c r="E12" s="52"/>
      <c r="F12" s="52"/>
      <c r="G12" s="52"/>
      <c r="H12" s="52"/>
      <c r="I12" s="52"/>
      <c r="J12" s="52"/>
      <c r="K12" s="52"/>
      <c r="L12" s="52"/>
      <c r="M12" s="52"/>
      <c r="N12" s="167" t="s">
        <v>105</v>
      </c>
      <c r="O12" s="153">
        <f>100%-O11</f>
        <v>0</v>
      </c>
      <c r="P12" s="54"/>
      <c r="Q12" s="54"/>
      <c r="R12" s="55"/>
      <c r="S12" s="52"/>
      <c r="T12" s="20"/>
      <c r="U12" s="20"/>
      <c r="V12" s="20"/>
      <c r="W12" s="26"/>
      <c r="X12" s="26"/>
      <c r="Y12" s="20"/>
      <c r="Z12" s="20"/>
      <c r="AA12" s="20"/>
      <c r="AB12" s="20"/>
      <c r="AC12" s="20"/>
    </row>
    <row r="13" spans="2:35" hidden="1" outlineLevel="1">
      <c r="B13" s="67" t="s">
        <v>106</v>
      </c>
      <c r="C13" s="19"/>
      <c r="D13" s="19" t="s">
        <v>89</v>
      </c>
      <c r="E13" s="50" t="s">
        <v>90</v>
      </c>
      <c r="F13" s="50" t="s">
        <v>91</v>
      </c>
      <c r="G13" s="50" t="s">
        <v>92</v>
      </c>
      <c r="H13" s="50" t="s">
        <v>93</v>
      </c>
      <c r="I13" s="50"/>
      <c r="J13" s="50"/>
      <c r="K13" s="50"/>
      <c r="L13" s="51"/>
      <c r="M13" s="52"/>
      <c r="N13"/>
      <c r="O13" s="52"/>
      <c r="P13" s="52"/>
      <c r="Q13" s="52"/>
      <c r="R13" s="52"/>
      <c r="S13" s="52"/>
      <c r="T13" s="20"/>
      <c r="U13" s="21"/>
      <c r="V13" s="22"/>
      <c r="W13" s="23"/>
      <c r="X13" s="23"/>
      <c r="Y13" s="20"/>
      <c r="Z13" s="20"/>
      <c r="AA13" s="20"/>
      <c r="AB13" s="20"/>
      <c r="AC13" s="20"/>
    </row>
    <row r="14" spans="2:35" hidden="1" outlineLevel="1">
      <c r="B14" s="24" t="s">
        <v>94</v>
      </c>
      <c r="C14" s="20"/>
      <c r="D14" s="20">
        <v>1.5</v>
      </c>
      <c r="E14" s="52">
        <v>1.5</v>
      </c>
      <c r="F14" s="52">
        <v>1.5</v>
      </c>
      <c r="G14" s="52">
        <v>1.5</v>
      </c>
      <c r="H14" s="52">
        <v>1.5</v>
      </c>
      <c r="I14" s="52"/>
      <c r="J14" s="71">
        <f>(SUM(D14:I14)*J$11)-(D14+G14)</f>
        <v>297</v>
      </c>
      <c r="K14" s="71">
        <f>(5*10.5*K$11)-(5*10.5)</f>
        <v>577.5</v>
      </c>
      <c r="L14" s="72">
        <f>K14+J14</f>
        <v>874.5</v>
      </c>
      <c r="M14" s="133"/>
      <c r="N14"/>
      <c r="O14"/>
      <c r="P14" s="120" t="s">
        <v>107</v>
      </c>
      <c r="Q14" s="56"/>
      <c r="R14" s="168">
        <f>P11*L28+Q11*M28+R11*N28</f>
        <v>-0.17763157894736845</v>
      </c>
      <c r="S14" s="133"/>
      <c r="T14" s="25">
        <f>+L14/5</f>
        <v>174.9</v>
      </c>
      <c r="U14" s="20"/>
      <c r="V14" s="26">
        <f>+T14*$V$2</f>
        <v>1098.3720000000001</v>
      </c>
      <c r="W14" s="26">
        <f>+V14/$W$2</f>
        <v>91.531000000000006</v>
      </c>
      <c r="X14" s="26"/>
      <c r="Y14" s="26">
        <f>+W14*$Y$2</f>
        <v>91.531000000000006</v>
      </c>
      <c r="Z14" s="26">
        <f>+W14*$Z$2</f>
        <v>183.06200000000001</v>
      </c>
      <c r="AA14" s="26">
        <f>+W14*$AA$2</f>
        <v>274.59300000000002</v>
      </c>
      <c r="AB14" s="26">
        <f>+W14*$AB$2</f>
        <v>366.12400000000002</v>
      </c>
      <c r="AC14" s="26">
        <f>+W14*$AC$2</f>
        <v>457.65500000000003</v>
      </c>
      <c r="AE14" s="31">
        <f>+T14/12</f>
        <v>14.575000000000001</v>
      </c>
      <c r="AF14" s="10">
        <f>+AE14*$AF$2</f>
        <v>29.150000000000002</v>
      </c>
      <c r="AG14" s="10">
        <f>+AE14*$AG$2</f>
        <v>43.725000000000001</v>
      </c>
      <c r="AH14" s="10">
        <f>+AE14*$AH$2</f>
        <v>58.300000000000004</v>
      </c>
      <c r="AI14" s="10">
        <f>+AE14*$AI$2</f>
        <v>72.875</v>
      </c>
    </row>
    <row r="15" spans="2:35" hidden="1" outlineLevel="1">
      <c r="B15" s="24" t="s">
        <v>95</v>
      </c>
      <c r="C15" s="20"/>
      <c r="D15" s="20">
        <f>D14+D16</f>
        <v>4.5</v>
      </c>
      <c r="E15" s="52">
        <f>E14+E16</f>
        <v>4.5</v>
      </c>
      <c r="F15" s="52">
        <f>F14+F16</f>
        <v>7.5</v>
      </c>
      <c r="G15" s="52">
        <f>G14+G16</f>
        <v>4.5</v>
      </c>
      <c r="H15" s="52">
        <f>H14+H16</f>
        <v>4.5</v>
      </c>
      <c r="I15" s="52"/>
      <c r="J15" s="71">
        <f>J14+J16</f>
        <v>1011</v>
      </c>
      <c r="K15" s="71">
        <f>K14</f>
        <v>577.5</v>
      </c>
      <c r="L15" s="72">
        <f>K15+J15</f>
        <v>1588.5</v>
      </c>
      <c r="M15" s="133"/>
      <c r="N15"/>
      <c r="O15"/>
      <c r="P15" s="8" t="s">
        <v>108</v>
      </c>
      <c r="Q15" s="9"/>
      <c r="R15" s="169">
        <f>P11*L29+Q11*M29+R11*N29</f>
        <v>-0.14007127192982455</v>
      </c>
      <c r="S15" s="133"/>
      <c r="T15" s="25">
        <f>+L15/5</f>
        <v>317.7</v>
      </c>
      <c r="U15" s="20"/>
      <c r="V15" s="26">
        <f>+T15*$V$2</f>
        <v>1995.1559999999999</v>
      </c>
      <c r="W15" s="27">
        <f>+V15/$W$2</f>
        <v>166.26300000000001</v>
      </c>
      <c r="X15" s="26">
        <f>+W15/$X$2</f>
        <v>83.131500000000003</v>
      </c>
      <c r="Y15" s="26">
        <f>+W15*$Y$2</f>
        <v>166.26300000000001</v>
      </c>
      <c r="Z15" s="26">
        <f>+W15*$Z$2</f>
        <v>332.52600000000001</v>
      </c>
      <c r="AA15" s="26">
        <f>+W15*$AA$2</f>
        <v>498.78899999999999</v>
      </c>
      <c r="AB15" s="26">
        <f>+W15*$AB$2</f>
        <v>665.05200000000002</v>
      </c>
      <c r="AC15" s="26">
        <f>+W15*$AC$2</f>
        <v>831.31500000000005</v>
      </c>
      <c r="AE15" s="31">
        <f>+T15/12</f>
        <v>26.474999999999998</v>
      </c>
      <c r="AF15" s="10">
        <f t="shared" ref="AF15:AF16" si="4">+AE15*$AF$2</f>
        <v>52.949999999999996</v>
      </c>
      <c r="AG15" s="10">
        <f t="shared" ref="AG15:AG16" si="5">+AE15*$AG$2</f>
        <v>79.424999999999997</v>
      </c>
      <c r="AH15" s="10">
        <f t="shared" ref="AH15:AH16" si="6">+AE15*$AH$2</f>
        <v>105.89999999999999</v>
      </c>
      <c r="AI15" s="10">
        <f t="shared" ref="AI15:AI16" si="7">+AE15*$AI$2</f>
        <v>132.375</v>
      </c>
    </row>
    <row r="16" spans="2:35" hidden="1" outlineLevel="1">
      <c r="B16" s="24" t="s">
        <v>96</v>
      </c>
      <c r="C16" s="20"/>
      <c r="D16" s="20">
        <v>3</v>
      </c>
      <c r="E16" s="52">
        <v>3</v>
      </c>
      <c r="F16" s="52">
        <v>6</v>
      </c>
      <c r="G16" s="52">
        <v>3</v>
      </c>
      <c r="H16" s="52">
        <v>3</v>
      </c>
      <c r="I16" s="52"/>
      <c r="J16" s="71">
        <f>(SUM(D16:I16)*J$11)-(D16+G16)</f>
        <v>714</v>
      </c>
      <c r="K16" s="71">
        <f>(5*10.5*K$11)-(5*10.5)</f>
        <v>577.5</v>
      </c>
      <c r="L16" s="72">
        <f>K16+J16</f>
        <v>1291.5</v>
      </c>
      <c r="M16" s="133"/>
      <c r="N16" s="170"/>
      <c r="O16"/>
      <c r="P16"/>
      <c r="Q16"/>
      <c r="R16"/>
      <c r="S16" s="133"/>
      <c r="T16" s="25">
        <f>+L16/5</f>
        <v>258.3</v>
      </c>
      <c r="U16" s="20"/>
      <c r="V16" s="26">
        <f>+T16*$V$2</f>
        <v>1622.124</v>
      </c>
      <c r="W16" s="26">
        <f>+V16/$W$2</f>
        <v>135.17699999999999</v>
      </c>
      <c r="X16" s="26"/>
      <c r="Y16" s="26">
        <f>+W16*$Y$2</f>
        <v>135.17699999999999</v>
      </c>
      <c r="Z16" s="26">
        <f>+W16*$Z$2</f>
        <v>270.35399999999998</v>
      </c>
      <c r="AA16" s="26">
        <f>+W16*$AA$2</f>
        <v>405.53099999999995</v>
      </c>
      <c r="AB16" s="26">
        <f>+W16*$AB$2</f>
        <v>540.70799999999997</v>
      </c>
      <c r="AC16" s="26">
        <f>+W16*$AC$2</f>
        <v>675.88499999999999</v>
      </c>
      <c r="AE16" s="31">
        <f>+T16/12</f>
        <v>21.525000000000002</v>
      </c>
      <c r="AF16" s="10">
        <f t="shared" si="4"/>
        <v>43.050000000000004</v>
      </c>
      <c r="AG16" s="10">
        <f t="shared" si="5"/>
        <v>64.575000000000003</v>
      </c>
      <c r="AH16" s="10">
        <f t="shared" si="6"/>
        <v>86.100000000000009</v>
      </c>
      <c r="AI16" s="10">
        <f t="shared" si="7"/>
        <v>107.62500000000001</v>
      </c>
    </row>
    <row r="17" spans="2:29" ht="13.5" hidden="1" outlineLevel="1" thickBot="1">
      <c r="B17" s="28"/>
      <c r="C17" s="29"/>
      <c r="D17" s="29"/>
      <c r="E17" s="54"/>
      <c r="F17" s="54"/>
      <c r="G17" s="54"/>
      <c r="H17" s="54"/>
      <c r="I17" s="54"/>
      <c r="J17" s="54"/>
      <c r="K17" s="54" t="s">
        <v>97</v>
      </c>
      <c r="L17" s="73">
        <f>10%*L14+20%*L15+70%*L16</f>
        <v>1309.2</v>
      </c>
      <c r="M17" s="134"/>
      <c r="N17"/>
      <c r="O17"/>
      <c r="P17" s="40" t="s">
        <v>109</v>
      </c>
      <c r="Q17" s="2"/>
      <c r="R17" s="171">
        <v>3253322.2931876699</v>
      </c>
      <c r="S17" s="134"/>
      <c r="T17" s="20"/>
      <c r="U17" s="20"/>
      <c r="V17" s="20"/>
      <c r="W17" s="26"/>
      <c r="X17" s="26"/>
      <c r="Y17" s="20"/>
      <c r="Z17" s="20"/>
      <c r="AA17" s="20"/>
      <c r="AB17" s="20"/>
      <c r="AC17" s="20"/>
    </row>
    <row r="18" spans="2:29" hidden="1" outlineLevel="1">
      <c r="B18" s="20"/>
      <c r="C18" s="20"/>
      <c r="D18" s="20"/>
      <c r="E18" s="52"/>
      <c r="F18" s="52"/>
      <c r="G18" s="52"/>
      <c r="H18" s="52"/>
      <c r="I18" s="52"/>
      <c r="J18" s="52"/>
      <c r="K18" s="52"/>
      <c r="L18" s="74">
        <f>(L17-L$8)/L$8</f>
        <v>-4.2982456140350844E-2</v>
      </c>
      <c r="M18" s="74"/>
      <c r="N18"/>
      <c r="O18"/>
      <c r="P18" s="4" t="s">
        <v>110</v>
      </c>
      <c r="Q18" s="52"/>
      <c r="R18" s="172">
        <f>R15*R17</f>
        <v>-455696.99160445051</v>
      </c>
      <c r="S18" s="74"/>
      <c r="T18" s="20"/>
      <c r="U18" s="20"/>
      <c r="V18" s="20"/>
      <c r="W18" s="26"/>
      <c r="X18" s="26"/>
      <c r="Y18" s="20"/>
      <c r="Z18" s="20"/>
      <c r="AA18" s="20"/>
      <c r="AB18" s="20"/>
      <c r="AC18" s="20"/>
    </row>
    <row r="19" spans="2:29" hidden="1" outlineLevel="1">
      <c r="B19" s="20" t="s">
        <v>111</v>
      </c>
      <c r="C19" s="20"/>
      <c r="D19" s="20"/>
      <c r="E19" s="52"/>
      <c r="F19" s="52"/>
      <c r="G19" s="52"/>
      <c r="H19" s="52"/>
      <c r="I19" s="52"/>
      <c r="J19" s="52"/>
      <c r="K19" s="52"/>
      <c r="L19" s="74"/>
      <c r="M19" s="74"/>
      <c r="N19" s="20"/>
      <c r="O19" s="20"/>
      <c r="P19" s="4" t="s">
        <v>112</v>
      </c>
      <c r="Q19"/>
      <c r="R19" s="172">
        <f>R17+R18</f>
        <v>2797625.3015832193</v>
      </c>
      <c r="S19" s="74"/>
      <c r="T19" s="20"/>
      <c r="U19" s="20"/>
      <c r="V19" s="20"/>
      <c r="W19" s="26"/>
      <c r="X19" s="26"/>
      <c r="Y19" s="20"/>
      <c r="Z19" s="20"/>
      <c r="AA19" s="20"/>
      <c r="AB19" s="20"/>
      <c r="AC19" s="20"/>
    </row>
    <row r="20" spans="2:29" hidden="1" outlineLevel="1">
      <c r="B20" s="20" t="s">
        <v>113</v>
      </c>
      <c r="C20" s="20"/>
      <c r="D20" s="20"/>
      <c r="E20" s="52"/>
      <c r="F20" s="52"/>
      <c r="G20" s="52"/>
      <c r="H20" s="52"/>
      <c r="I20" s="52"/>
      <c r="J20" s="52"/>
      <c r="K20" s="52"/>
      <c r="L20" s="74"/>
      <c r="M20" s="74"/>
      <c r="N20" s="20"/>
      <c r="O20" s="20"/>
      <c r="P20" s="4" t="s">
        <v>114</v>
      </c>
      <c r="Q20" s="20"/>
      <c r="R20" s="172">
        <v>2488373.6805108399</v>
      </c>
      <c r="S20" s="74"/>
      <c r="T20" s="20"/>
      <c r="U20" s="20"/>
      <c r="V20" s="20"/>
      <c r="W20" s="26"/>
      <c r="X20" s="26"/>
      <c r="Y20" s="20"/>
      <c r="Z20" s="20"/>
      <c r="AA20" s="20"/>
      <c r="AB20" s="20"/>
      <c r="AC20" s="20"/>
    </row>
    <row r="21" spans="2:29" ht="13.5" hidden="1" outlineLevel="1" thickBot="1">
      <c r="B21" s="20"/>
      <c r="C21" s="20"/>
      <c r="D21" s="20"/>
      <c r="E21" s="52"/>
      <c r="F21" s="52"/>
      <c r="G21" s="52"/>
      <c r="H21" s="52"/>
      <c r="I21" s="52"/>
      <c r="J21" s="52"/>
      <c r="K21" s="52"/>
      <c r="L21" s="74"/>
      <c r="M21" s="74"/>
      <c r="N21" s="20"/>
      <c r="O21" s="20"/>
      <c r="P21" s="173" t="s">
        <v>115</v>
      </c>
      <c r="Q21" s="52"/>
      <c r="R21" s="172">
        <f>R19-R20</f>
        <v>309251.62107237941</v>
      </c>
      <c r="S21" s="74"/>
      <c r="T21" s="20"/>
      <c r="U21" s="20"/>
      <c r="V21" s="20"/>
      <c r="W21" s="26"/>
      <c r="X21" s="26"/>
      <c r="Y21" s="20"/>
      <c r="Z21" s="20"/>
      <c r="AA21" s="20"/>
      <c r="AB21" s="20"/>
      <c r="AC21" s="20"/>
    </row>
    <row r="22" spans="2:29" hidden="1" outlineLevel="1">
      <c r="B22" s="67" t="s">
        <v>106</v>
      </c>
      <c r="C22" s="19"/>
      <c r="D22" s="19" t="s">
        <v>89</v>
      </c>
      <c r="E22" s="50" t="s">
        <v>90</v>
      </c>
      <c r="F22" s="50" t="s">
        <v>91</v>
      </c>
      <c r="G22" s="50" t="s">
        <v>92</v>
      </c>
      <c r="H22" s="50" t="s">
        <v>93</v>
      </c>
      <c r="I22" s="50"/>
      <c r="J22" s="50"/>
      <c r="K22" s="50"/>
      <c r="L22" s="148" t="s">
        <v>116</v>
      </c>
      <c r="M22" s="148" t="s">
        <v>117</v>
      </c>
      <c r="N22" s="149" t="s">
        <v>118</v>
      </c>
      <c r="O22" s="20"/>
      <c r="P22" s="174" t="s">
        <v>119</v>
      </c>
      <c r="Q22" s="63"/>
      <c r="R22" s="175">
        <f>R21/R19</f>
        <v>0.11054075786967224</v>
      </c>
      <c r="S22" s="74"/>
      <c r="T22" s="20"/>
      <c r="U22" s="20"/>
      <c r="V22" s="20"/>
      <c r="W22" s="26"/>
      <c r="X22" s="26"/>
      <c r="Y22" s="20"/>
      <c r="Z22" s="20"/>
      <c r="AA22" s="20"/>
      <c r="AB22" s="20"/>
      <c r="AC22" s="20"/>
    </row>
    <row r="23" spans="2:29" hidden="1" outlineLevel="1">
      <c r="B23" s="24" t="s">
        <v>94</v>
      </c>
      <c r="C23" s="20"/>
      <c r="D23" s="20">
        <v>1</v>
      </c>
      <c r="E23" s="52">
        <v>1</v>
      </c>
      <c r="F23" s="52">
        <v>1</v>
      </c>
      <c r="G23" s="52">
        <v>1</v>
      </c>
      <c r="H23" s="52">
        <v>1</v>
      </c>
      <c r="I23" s="52"/>
      <c r="J23" s="71">
        <f>(SUM(D23:I23)*J$11)</f>
        <v>200</v>
      </c>
      <c r="K23" s="71">
        <f>(5*10*K$11)</f>
        <v>600</v>
      </c>
      <c r="L23" s="133">
        <f>K23+J23</f>
        <v>800</v>
      </c>
      <c r="M23" s="133">
        <f>J23+8*10*5</f>
        <v>600</v>
      </c>
      <c r="N23" s="72">
        <f>J23</f>
        <v>200</v>
      </c>
      <c r="O23" s="74"/>
      <c r="P23" s="74"/>
      <c r="Q23" s="74"/>
      <c r="R23" s="74"/>
      <c r="S23" s="74"/>
      <c r="T23" s="20"/>
      <c r="U23" s="20"/>
      <c r="V23" s="20"/>
      <c r="W23" s="26"/>
      <c r="X23" s="26"/>
      <c r="Y23" s="20"/>
      <c r="Z23" s="20"/>
      <c r="AA23" s="20"/>
      <c r="AB23" s="20"/>
      <c r="AC23" s="20"/>
    </row>
    <row r="24" spans="2:29" hidden="1" outlineLevel="1">
      <c r="B24" s="24" t="s">
        <v>95</v>
      </c>
      <c r="C24" s="20"/>
      <c r="D24" s="20">
        <f>D23+D25</f>
        <v>4.75</v>
      </c>
      <c r="E24" s="52">
        <f>E23+E25</f>
        <v>4.75</v>
      </c>
      <c r="F24" s="52">
        <f>F23+F25</f>
        <v>4.75</v>
      </c>
      <c r="G24" s="52">
        <f>G23+G25</f>
        <v>4.75</v>
      </c>
      <c r="H24" s="52">
        <f>H23+H25</f>
        <v>4.75</v>
      </c>
      <c r="I24" s="52"/>
      <c r="J24" s="71">
        <f>J23+(J25*O11)+(J26*O12)</f>
        <v>950</v>
      </c>
      <c r="K24" s="71">
        <f>K23</f>
        <v>600</v>
      </c>
      <c r="L24" s="133">
        <f>K24+J24</f>
        <v>1550</v>
      </c>
      <c r="M24" s="133">
        <f>J24+8*10*5</f>
        <v>1350</v>
      </c>
      <c r="N24" s="72">
        <f>J24</f>
        <v>950</v>
      </c>
      <c r="O24" s="74"/>
      <c r="P24" s="74"/>
      <c r="Q24" s="196" t="s">
        <v>120</v>
      </c>
      <c r="R24" s="197" t="s">
        <v>121</v>
      </c>
      <c r="S24" s="74"/>
      <c r="T24" s="20"/>
      <c r="U24" s="20"/>
      <c r="V24" s="20"/>
      <c r="W24" s="26"/>
      <c r="X24" s="26"/>
      <c r="Y24" s="20"/>
      <c r="Z24" s="20"/>
      <c r="AA24" s="20"/>
      <c r="AB24" s="20"/>
      <c r="AC24" s="20"/>
    </row>
    <row r="25" spans="2:29" hidden="1" outlineLevel="1">
      <c r="B25" s="24" t="s">
        <v>96</v>
      </c>
      <c r="C25" s="20"/>
      <c r="D25" s="20">
        <v>3.75</v>
      </c>
      <c r="E25" s="20">
        <v>3.75</v>
      </c>
      <c r="F25" s="20">
        <v>3.75</v>
      </c>
      <c r="G25" s="20">
        <v>3.75</v>
      </c>
      <c r="H25" s="20">
        <v>3.75</v>
      </c>
      <c r="I25" s="52"/>
      <c r="J25" s="71">
        <f>(SUM(D25:I25)*J$11)</f>
        <v>750</v>
      </c>
      <c r="K25" s="71">
        <f>(5*10*K$11)</f>
        <v>600</v>
      </c>
      <c r="L25" s="133">
        <f>K25+J25</f>
        <v>1350</v>
      </c>
      <c r="M25" s="133">
        <f>J25+8*10*5</f>
        <v>1150</v>
      </c>
      <c r="N25" s="72">
        <f>J25</f>
        <v>750</v>
      </c>
      <c r="O25" s="74"/>
      <c r="P25" s="74"/>
      <c r="Q25" s="195">
        <v>0.7</v>
      </c>
      <c r="R25" s="198">
        <f>100%-Q25</f>
        <v>0.30000000000000004</v>
      </c>
      <c r="S25" s="74"/>
      <c r="T25" s="20"/>
      <c r="U25" s="20"/>
      <c r="V25" s="20"/>
      <c r="W25" s="26"/>
      <c r="X25" s="26"/>
      <c r="Y25" s="20"/>
      <c r="Z25" s="20"/>
      <c r="AA25" s="20"/>
      <c r="AB25" s="20"/>
      <c r="AC25" s="20"/>
    </row>
    <row r="26" spans="2:29" hidden="1" outlineLevel="1">
      <c r="B26" s="24" t="s">
        <v>122</v>
      </c>
      <c r="C26" s="20"/>
      <c r="D26" s="20">
        <v>4.25</v>
      </c>
      <c r="E26" s="20">
        <v>4.25</v>
      </c>
      <c r="F26" s="20">
        <v>4.25</v>
      </c>
      <c r="G26" s="20">
        <v>4.25</v>
      </c>
      <c r="H26" s="20">
        <v>4.25</v>
      </c>
      <c r="I26" s="52"/>
      <c r="J26" s="71">
        <f>(SUM(D26:I26)*J$11)</f>
        <v>850</v>
      </c>
      <c r="K26" s="71">
        <f>(5*10.5*K$11)</f>
        <v>630</v>
      </c>
      <c r="L26" s="133">
        <f>K26+J26</f>
        <v>1480</v>
      </c>
      <c r="M26" s="133">
        <f>J26+8*10.5*5</f>
        <v>1270</v>
      </c>
      <c r="N26" s="72">
        <f>J26</f>
        <v>850</v>
      </c>
      <c r="O26" s="74"/>
      <c r="P26" s="74"/>
      <c r="Q26" s="74"/>
      <c r="R26" s="74"/>
      <c r="S26" s="74"/>
      <c r="T26" s="20"/>
      <c r="U26" s="20"/>
      <c r="V26" s="20"/>
      <c r="W26" s="26"/>
      <c r="X26" s="26"/>
      <c r="Y26" s="20"/>
      <c r="Z26" s="20"/>
      <c r="AA26" s="20"/>
      <c r="AB26" s="20"/>
      <c r="AC26" s="20"/>
    </row>
    <row r="27" spans="2:29" ht="13.5" hidden="1" outlineLevel="1" thickBot="1">
      <c r="B27" s="24"/>
      <c r="C27" s="20"/>
      <c r="D27" s="20"/>
      <c r="E27" s="52"/>
      <c r="F27" s="52"/>
      <c r="G27" s="52"/>
      <c r="H27" s="52"/>
      <c r="I27" s="52"/>
      <c r="J27" s="52"/>
      <c r="K27" s="134" t="s">
        <v>97</v>
      </c>
      <c r="L27" s="150">
        <f>(10%*L23)+(20%*L24)+(70%*(L25*O11+L26*O12))</f>
        <v>1335</v>
      </c>
      <c r="M27" s="150">
        <f>(10%*M23)+(20%*M24)+(70%*(M25*O11+M26*O12))</f>
        <v>1135</v>
      </c>
      <c r="N27" s="151">
        <f>(10%*N23)+(20%*N24)+(70%*(N25*O11+N26*O12))</f>
        <v>735</v>
      </c>
      <c r="O27" s="74"/>
      <c r="P27" s="74"/>
      <c r="Q27" s="74"/>
      <c r="R27" s="74"/>
      <c r="S27" s="74"/>
      <c r="T27" s="20"/>
      <c r="U27" s="20"/>
      <c r="V27" s="20"/>
      <c r="W27" s="26"/>
      <c r="X27" s="26"/>
      <c r="Y27" s="20"/>
      <c r="Z27" s="20"/>
      <c r="AA27" s="20"/>
      <c r="AB27" s="20"/>
      <c r="AC27" s="20"/>
    </row>
    <row r="28" spans="2:29" ht="13.5" hidden="1" outlineLevel="1" thickTop="1">
      <c r="B28" s="24"/>
      <c r="C28" s="20"/>
      <c r="D28" s="20"/>
      <c r="E28" s="52"/>
      <c r="F28" s="52"/>
      <c r="G28" s="52"/>
      <c r="H28" s="52"/>
      <c r="I28" s="52"/>
      <c r="J28" s="52"/>
      <c r="K28" s="134" t="s">
        <v>123</v>
      </c>
      <c r="L28" s="74">
        <f>(L27-L$8)/L$8</f>
        <v>-2.4122807017543858E-2</v>
      </c>
      <c r="M28" s="74">
        <f>(M27-L$8)/L$8</f>
        <v>-0.1703216374269006</v>
      </c>
      <c r="N28" s="152">
        <f>(N27-L$8)/L$8</f>
        <v>-0.46271929824561403</v>
      </c>
      <c r="O28" s="74"/>
      <c r="P28" s="74"/>
      <c r="Q28" s="74"/>
      <c r="R28" s="74"/>
      <c r="S28" s="74"/>
      <c r="T28" s="20"/>
      <c r="U28" s="20"/>
      <c r="V28" s="20"/>
      <c r="W28" s="26"/>
      <c r="X28" s="26"/>
      <c r="Y28" s="20"/>
      <c r="Z28" s="20"/>
      <c r="AA28" s="20"/>
      <c r="AB28" s="20"/>
      <c r="AC28" s="20"/>
    </row>
    <row r="29" spans="2:29" ht="13.5" hidden="1" outlineLevel="1" thickBot="1">
      <c r="B29" s="28"/>
      <c r="C29" s="29"/>
      <c r="D29" s="29"/>
      <c r="E29" s="54"/>
      <c r="F29" s="54"/>
      <c r="G29" s="54"/>
      <c r="H29" s="54"/>
      <c r="I29" s="54"/>
      <c r="J29" s="54"/>
      <c r="K29" s="153" t="s">
        <v>124</v>
      </c>
      <c r="L29" s="153">
        <f>L28</f>
        <v>-2.4122807017543858E-2</v>
      </c>
      <c r="M29" s="153">
        <f>((M27*(1+Q$10))-$L$8)/$L$8</f>
        <v>-0.12883771929824561</v>
      </c>
      <c r="N29" s="153">
        <f>((N27*(1+R$10))-$L$8)/$L$8</f>
        <v>-0.39824561403508768</v>
      </c>
      <c r="O29" s="74"/>
      <c r="P29" s="74"/>
      <c r="Q29" s="74"/>
      <c r="R29" s="74"/>
      <c r="S29" s="74"/>
      <c r="T29" s="20"/>
      <c r="U29" s="20"/>
      <c r="V29" s="20"/>
      <c r="W29" s="26"/>
      <c r="X29" s="26"/>
      <c r="Y29" s="20"/>
      <c r="Z29" s="20"/>
      <c r="AA29" s="20"/>
      <c r="AB29" s="20"/>
      <c r="AC29" s="20"/>
    </row>
    <row r="30" spans="2:29" hidden="1" outlineLevel="1">
      <c r="B30" s="20"/>
      <c r="C30" s="20"/>
      <c r="D30" s="20"/>
      <c r="E30" s="52"/>
      <c r="F30" s="52"/>
      <c r="G30" s="52"/>
      <c r="H30" s="52"/>
      <c r="I30" s="52"/>
      <c r="J30" s="52"/>
      <c r="K30" s="52"/>
      <c r="L30" s="74"/>
      <c r="M30" s="74"/>
      <c r="N30" s="74"/>
      <c r="O30" s="74"/>
      <c r="P30" s="74"/>
      <c r="Q30" s="74"/>
      <c r="R30" s="74"/>
      <c r="S30" s="74"/>
      <c r="T30" s="20"/>
      <c r="U30" s="20"/>
      <c r="V30" s="20"/>
      <c r="W30" s="26"/>
      <c r="X30" s="26"/>
      <c r="Y30" s="20"/>
      <c r="Z30" s="20"/>
      <c r="AA30" s="20"/>
      <c r="AB30" s="20"/>
      <c r="AC30" s="20"/>
    </row>
    <row r="31" spans="2:29" hidden="1" outlineLevel="1">
      <c r="B31" s="20"/>
      <c r="C31" s="20"/>
      <c r="D31" s="20"/>
      <c r="E31" s="52"/>
      <c r="F31" s="52"/>
      <c r="G31" s="52"/>
      <c r="H31" s="52"/>
      <c r="I31" s="52"/>
      <c r="J31" s="52"/>
      <c r="K31" s="52"/>
      <c r="L31" s="74"/>
      <c r="M31" s="74"/>
      <c r="N31" s="74"/>
      <c r="O31" s="74"/>
      <c r="P31" s="74"/>
      <c r="Q31" s="74"/>
      <c r="R31" s="74"/>
      <c r="S31" s="74"/>
      <c r="T31" s="20"/>
      <c r="U31" s="20"/>
      <c r="V31" s="20"/>
      <c r="W31" s="26"/>
      <c r="X31" s="26"/>
      <c r="Y31" s="20"/>
      <c r="Z31" s="20"/>
      <c r="AA31" s="20"/>
      <c r="AB31" s="20"/>
      <c r="AC31" s="20"/>
    </row>
    <row r="32" spans="2:29" hidden="1" outlineLevel="1">
      <c r="B32" s="20"/>
      <c r="C32" s="20"/>
      <c r="D32" s="20"/>
      <c r="E32" s="52"/>
      <c r="F32" s="52"/>
      <c r="G32" s="52"/>
      <c r="H32" s="52"/>
      <c r="I32" s="52"/>
      <c r="J32" s="52"/>
      <c r="K32" s="52"/>
      <c r="L32" s="74"/>
      <c r="M32" s="74"/>
      <c r="N32" s="74"/>
      <c r="O32" s="74"/>
      <c r="P32" s="74"/>
      <c r="Q32" s="74"/>
      <c r="R32" s="74"/>
      <c r="S32" s="74"/>
      <c r="T32" s="20"/>
      <c r="U32" s="20"/>
      <c r="V32" s="20"/>
      <c r="W32" s="26"/>
      <c r="X32" s="26"/>
      <c r="Y32" s="20"/>
      <c r="Z32" s="20"/>
      <c r="AA32" s="20"/>
      <c r="AB32" s="20"/>
      <c r="AC32" s="20"/>
    </row>
    <row r="33" spans="2:35" hidden="1" outlineLevel="1">
      <c r="B33" s="20"/>
      <c r="C33" s="20"/>
      <c r="D33" s="20"/>
      <c r="E33" s="52"/>
      <c r="F33" s="52"/>
      <c r="G33" s="52"/>
      <c r="H33" s="52"/>
      <c r="I33" s="52"/>
      <c r="J33" s="52"/>
      <c r="K33" s="52"/>
      <c r="L33" s="74"/>
      <c r="M33" s="74"/>
      <c r="N33" s="74" t="s">
        <v>125</v>
      </c>
      <c r="O33" s="74"/>
      <c r="P33" s="74"/>
      <c r="Q33" s="74" t="s">
        <v>126</v>
      </c>
      <c r="R33" s="74"/>
      <c r="S33" s="74"/>
      <c r="T33" s="20"/>
      <c r="U33" s="20"/>
      <c r="V33" s="20"/>
      <c r="W33" s="26"/>
      <c r="X33" s="26"/>
      <c r="Y33" s="20"/>
      <c r="Z33" s="20"/>
      <c r="AA33" s="20"/>
      <c r="AB33" s="20"/>
      <c r="AC33" s="20"/>
    </row>
    <row r="34" spans="2:35" hidden="1" outlineLevel="1">
      <c r="B34" s="20" t="s">
        <v>127</v>
      </c>
      <c r="C34" s="20"/>
      <c r="D34" s="20"/>
      <c r="E34" s="52"/>
      <c r="F34" s="52"/>
      <c r="G34" s="52"/>
      <c r="H34" s="52"/>
      <c r="I34" s="52"/>
      <c r="J34" s="52"/>
      <c r="K34" s="52"/>
      <c r="L34" s="69"/>
      <c r="M34" s="69"/>
      <c r="N34" s="108">
        <v>52</v>
      </c>
      <c r="O34" s="108">
        <v>46</v>
      </c>
      <c r="P34" s="20">
        <v>40</v>
      </c>
      <c r="Q34" s="109">
        <v>0.05</v>
      </c>
      <c r="R34" s="109">
        <f>R10</f>
        <v>0.12</v>
      </c>
      <c r="S34" s="109"/>
      <c r="U34" s="20"/>
      <c r="V34" s="20"/>
      <c r="W34" s="26"/>
      <c r="X34" s="26"/>
      <c r="Y34" s="20"/>
      <c r="Z34" s="20"/>
      <c r="AA34" s="20"/>
      <c r="AB34" s="20"/>
      <c r="AC34" s="20"/>
    </row>
    <row r="35" spans="2:35" hidden="1" outlineLevel="1">
      <c r="B35" s="20" t="s">
        <v>128</v>
      </c>
      <c r="C35" s="20"/>
      <c r="D35" s="20"/>
      <c r="E35" s="52"/>
      <c r="F35" s="124">
        <f>J11</f>
        <v>40</v>
      </c>
      <c r="G35" s="52" t="s">
        <v>129</v>
      </c>
      <c r="H35" s="130" t="e">
        <f>#REF!</f>
        <v>#REF!</v>
      </c>
      <c r="I35" s="52"/>
      <c r="J35" s="52"/>
      <c r="K35" s="52"/>
      <c r="L35" s="69" t="s">
        <v>94</v>
      </c>
      <c r="M35" s="69"/>
      <c r="N35" s="69">
        <v>0.8</v>
      </c>
      <c r="O35" s="69">
        <f>100%-N35</f>
        <v>0.19999999999999996</v>
      </c>
      <c r="P35" s="69">
        <f>100%-N35</f>
        <v>0.19999999999999996</v>
      </c>
      <c r="Q35" s="69">
        <f t="shared" ref="Q35:R37" si="8">1+Q$34</f>
        <v>1.05</v>
      </c>
      <c r="R35" s="69">
        <f t="shared" si="8"/>
        <v>1.1200000000000001</v>
      </c>
      <c r="S35" s="69"/>
      <c r="T35" s="20"/>
      <c r="U35" s="20"/>
      <c r="V35" s="20"/>
      <c r="W35" s="26"/>
      <c r="X35" s="26"/>
      <c r="Y35" s="20"/>
      <c r="Z35" s="20"/>
      <c r="AA35" s="20"/>
      <c r="AB35" s="20"/>
      <c r="AC35" s="20"/>
    </row>
    <row r="36" spans="2:35" hidden="1" outlineLevel="1">
      <c r="B36" s="20" t="s">
        <v>130</v>
      </c>
      <c r="E36"/>
      <c r="F36"/>
      <c r="G36"/>
      <c r="H36"/>
      <c r="I36" s="52"/>
      <c r="J36" s="52"/>
      <c r="K36" s="52"/>
      <c r="L36" s="69" t="s">
        <v>95</v>
      </c>
      <c r="M36" s="69"/>
      <c r="N36" s="69">
        <v>0.8</v>
      </c>
      <c r="O36" s="69">
        <f>100%-N36</f>
        <v>0.19999999999999996</v>
      </c>
      <c r="P36" s="69">
        <f>100%-N36</f>
        <v>0.19999999999999996</v>
      </c>
      <c r="Q36" s="69">
        <f t="shared" si="8"/>
        <v>1.05</v>
      </c>
      <c r="R36" s="69">
        <f t="shared" si="8"/>
        <v>1.1200000000000001</v>
      </c>
      <c r="S36" s="69"/>
      <c r="U36" s="20"/>
      <c r="V36" s="20"/>
      <c r="W36" s="26"/>
      <c r="X36" s="26"/>
      <c r="Y36" s="20"/>
      <c r="Z36" s="20"/>
      <c r="AA36" s="20"/>
      <c r="AB36" s="20"/>
      <c r="AC36" s="20"/>
    </row>
    <row r="37" spans="2:35" hidden="1" outlineLevel="1">
      <c r="B37" s="20"/>
      <c r="C37" s="20"/>
      <c r="D37" s="20"/>
      <c r="E37" s="52"/>
      <c r="F37" s="52"/>
      <c r="G37" s="52"/>
      <c r="H37" s="52"/>
      <c r="I37" s="52"/>
      <c r="J37" s="52"/>
      <c r="K37" s="52"/>
      <c r="L37" s="69" t="s">
        <v>96</v>
      </c>
      <c r="M37" s="69"/>
      <c r="N37" s="69">
        <v>0.8</v>
      </c>
      <c r="O37" s="69">
        <f>100%-N37</f>
        <v>0.19999999999999996</v>
      </c>
      <c r="P37" s="69">
        <f>100%-N37</f>
        <v>0.19999999999999996</v>
      </c>
      <c r="Q37" s="69">
        <f t="shared" si="8"/>
        <v>1.05</v>
      </c>
      <c r="R37" s="69">
        <f t="shared" si="8"/>
        <v>1.1200000000000001</v>
      </c>
      <c r="S37" s="69"/>
      <c r="U37" s="20"/>
      <c r="V37" s="20"/>
      <c r="W37" s="26"/>
      <c r="X37" s="26"/>
      <c r="Y37" s="20"/>
      <c r="Z37" s="20"/>
      <c r="AA37" s="20"/>
      <c r="AB37" s="20"/>
      <c r="AC37" s="20"/>
    </row>
    <row r="38" spans="2:35" ht="13.5" hidden="1" outlineLevel="1" thickBot="1">
      <c r="T38" t="s">
        <v>131</v>
      </c>
    </row>
    <row r="39" spans="2:35" hidden="1" outlineLevel="1">
      <c r="B39" s="1"/>
      <c r="C39" s="12"/>
      <c r="D39" s="12"/>
      <c r="E39" s="56"/>
      <c r="F39" s="56"/>
      <c r="G39" s="56"/>
      <c r="H39" s="56"/>
      <c r="I39" s="56"/>
      <c r="J39" s="179"/>
      <c r="K39" s="180"/>
      <c r="L39" s="180"/>
      <c r="M39" s="180"/>
      <c r="N39" s="181"/>
      <c r="O39" s="56"/>
      <c r="P39" s="56"/>
      <c r="Q39" s="56"/>
      <c r="R39" s="122"/>
      <c r="Y39" s="40"/>
      <c r="Z39" s="2"/>
      <c r="AA39" s="2"/>
      <c r="AB39" s="2"/>
      <c r="AC39" s="2"/>
      <c r="AD39" s="2"/>
      <c r="AE39" s="2"/>
      <c r="AF39" s="2"/>
      <c r="AG39" s="2"/>
      <c r="AH39" s="2"/>
      <c r="AI39" s="3"/>
    </row>
    <row r="40" spans="2:35" hidden="1" outlineLevel="1">
      <c r="B40" s="4"/>
      <c r="J40" s="182"/>
      <c r="K40" s="66"/>
      <c r="L40" s="66"/>
      <c r="M40" s="66"/>
      <c r="N40" s="183"/>
      <c r="O40" s="66"/>
      <c r="P40" s="66"/>
      <c r="Q40" s="66"/>
      <c r="R40" s="117"/>
      <c r="S40" s="66"/>
      <c r="Y40" s="4"/>
      <c r="AI40" s="5"/>
    </row>
    <row r="41" spans="2:35" hidden="1" outlineLevel="1">
      <c r="B41" s="4"/>
      <c r="D41" s="6"/>
      <c r="E41" s="57"/>
      <c r="F41" s="57"/>
      <c r="G41" s="57"/>
      <c r="H41" s="57"/>
      <c r="J41" s="184"/>
      <c r="K41" s="132"/>
      <c r="L41" s="147"/>
      <c r="M41" s="147"/>
      <c r="N41" s="185"/>
      <c r="O41" s="132"/>
      <c r="P41" s="132"/>
      <c r="Q41" s="132"/>
      <c r="R41" s="112"/>
      <c r="S41" s="132"/>
      <c r="Y41" s="4"/>
      <c r="AI41" s="5"/>
    </row>
    <row r="42" spans="2:35" hidden="1" outlineLevel="1">
      <c r="B42" s="4"/>
      <c r="D42" s="6"/>
      <c r="E42" s="57"/>
      <c r="F42" s="57"/>
      <c r="G42" s="57"/>
      <c r="H42" s="57"/>
      <c r="J42" s="186"/>
      <c r="N42" s="187"/>
      <c r="O42" s="66"/>
      <c r="P42" s="66"/>
      <c r="Q42" s="66"/>
      <c r="R42" s="111"/>
      <c r="Y42" s="4"/>
      <c r="AI42" s="5"/>
    </row>
    <row r="43" spans="2:35" hidden="1" outlineLevel="1">
      <c r="B43" s="4"/>
      <c r="J43" s="186"/>
      <c r="N43" s="187"/>
      <c r="O43" s="66"/>
      <c r="P43" s="144"/>
      <c r="Q43" s="66"/>
      <c r="R43" s="146"/>
      <c r="Y43" s="4"/>
      <c r="AI43" s="5"/>
    </row>
    <row r="44" spans="2:35" hidden="1" outlineLevel="1">
      <c r="B44" s="4"/>
      <c r="J44" s="188"/>
      <c r="K44" s="71"/>
      <c r="L44" s="133"/>
      <c r="M44" s="133"/>
      <c r="N44" s="72"/>
      <c r="O44" s="133"/>
      <c r="P44" s="133"/>
      <c r="Q44" s="133"/>
      <c r="R44" s="121"/>
      <c r="T44" s="10"/>
      <c r="V44" s="14"/>
      <c r="Y44" s="41"/>
      <c r="Z44" s="14"/>
      <c r="AA44" s="14"/>
      <c r="AB44" s="14"/>
      <c r="AC44" s="14"/>
      <c r="AE44" s="31"/>
      <c r="AF44" s="10"/>
      <c r="AG44" s="10"/>
      <c r="AH44" s="10"/>
      <c r="AI44" s="42"/>
    </row>
    <row r="45" spans="2:35" hidden="1" outlineLevel="1">
      <c r="B45" s="4"/>
      <c r="J45" s="188"/>
      <c r="K45" s="71"/>
      <c r="L45" s="133"/>
      <c r="M45" s="133"/>
      <c r="N45" s="72"/>
      <c r="O45" s="133"/>
      <c r="P45" s="133"/>
      <c r="Q45" s="133"/>
      <c r="R45" s="121"/>
      <c r="S45" s="133"/>
      <c r="T45" s="10"/>
      <c r="V45" s="14"/>
      <c r="W45" s="18"/>
      <c r="Y45" s="41"/>
      <c r="Z45" s="14"/>
      <c r="AA45" s="14"/>
      <c r="AB45" s="14"/>
      <c r="AC45" s="14"/>
      <c r="AE45" s="31"/>
      <c r="AF45" s="10"/>
      <c r="AG45" s="10"/>
      <c r="AH45" s="10"/>
      <c r="AI45" s="42"/>
    </row>
    <row r="46" spans="2:35" hidden="1" outlineLevel="1">
      <c r="B46" s="4"/>
      <c r="D46" s="6"/>
      <c r="E46" s="57"/>
      <c r="G46" s="57"/>
      <c r="H46" s="57"/>
      <c r="J46" s="188"/>
      <c r="K46" s="71"/>
      <c r="L46" s="133"/>
      <c r="M46" s="133"/>
      <c r="N46" s="72"/>
      <c r="O46" s="133"/>
      <c r="P46" s="133"/>
      <c r="Q46" s="133"/>
      <c r="R46" s="121"/>
      <c r="S46" s="133"/>
      <c r="T46" s="10"/>
      <c r="V46" s="14"/>
      <c r="Y46" s="41"/>
      <c r="Z46" s="14"/>
      <c r="AA46" s="14"/>
      <c r="AB46" s="14"/>
      <c r="AC46" s="14"/>
      <c r="AE46" s="31"/>
      <c r="AF46" s="10"/>
      <c r="AG46" s="10"/>
      <c r="AH46" s="10"/>
      <c r="AI46" s="42"/>
    </row>
    <row r="47" spans="2:35" hidden="1" outlineLevel="1">
      <c r="B47" s="8"/>
      <c r="C47" s="9"/>
      <c r="D47" s="9"/>
      <c r="E47" s="59"/>
      <c r="F47" s="59"/>
      <c r="G47" s="59"/>
      <c r="H47" s="59"/>
      <c r="I47" s="59"/>
      <c r="J47" s="189"/>
      <c r="K47" s="134"/>
      <c r="L47" s="116"/>
      <c r="M47" s="116"/>
      <c r="N47" s="190"/>
      <c r="O47" s="116"/>
      <c r="P47" s="116"/>
      <c r="Q47" s="116"/>
      <c r="R47" s="114"/>
      <c r="S47" s="116"/>
      <c r="Y47" s="8"/>
      <c r="Z47" s="9"/>
      <c r="AA47" s="9"/>
      <c r="AB47" s="9"/>
      <c r="AC47" s="9"/>
      <c r="AD47" s="9"/>
      <c r="AE47" s="9"/>
      <c r="AF47" s="9"/>
      <c r="AG47" s="9"/>
      <c r="AH47" s="9"/>
      <c r="AI47" s="43"/>
    </row>
    <row r="48" spans="2:35" hidden="1" outlineLevel="1">
      <c r="B48" s="126"/>
      <c r="C48" s="125"/>
      <c r="D48" s="125"/>
      <c r="E48" s="118"/>
      <c r="F48" s="118"/>
      <c r="G48" s="118"/>
      <c r="H48" s="118"/>
      <c r="I48" s="118"/>
      <c r="J48" s="193"/>
      <c r="K48" s="194"/>
      <c r="L48" s="119"/>
      <c r="M48" s="119"/>
      <c r="N48" s="191"/>
      <c r="O48" s="119"/>
      <c r="P48" s="119"/>
      <c r="Q48" s="119"/>
      <c r="R48" s="129"/>
      <c r="S48" s="119"/>
    </row>
    <row r="49" spans="1:35" ht="13.5" hidden="1" outlineLevel="1" thickBot="1">
      <c r="J49" s="192"/>
      <c r="K49" s="153"/>
      <c r="L49" s="153"/>
      <c r="M49" s="153"/>
      <c r="N49" s="154"/>
      <c r="O49" s="74"/>
      <c r="P49" s="74"/>
      <c r="Q49" s="74"/>
      <c r="R49" s="74"/>
      <c r="S49" s="74"/>
    </row>
    <row r="50" spans="1:35" ht="13.5" hidden="1" outlineLevel="1" thickBot="1"/>
    <row r="51" spans="1:35" hidden="1" outlineLevel="1">
      <c r="B51" s="1"/>
      <c r="C51" s="12"/>
      <c r="D51" s="12"/>
      <c r="E51" s="56"/>
      <c r="F51" s="56"/>
      <c r="G51" s="56"/>
      <c r="H51" s="56"/>
      <c r="I51" s="56"/>
      <c r="J51" s="179"/>
      <c r="K51" s="180"/>
      <c r="L51" s="180"/>
      <c r="M51" s="180"/>
      <c r="N51" s="181"/>
      <c r="O51" s="120"/>
      <c r="P51" s="56"/>
      <c r="Q51" s="56"/>
      <c r="R51" s="122"/>
      <c r="Y51" s="40"/>
      <c r="Z51" s="2"/>
      <c r="AA51" s="2"/>
      <c r="AB51" s="2"/>
      <c r="AC51" s="2"/>
      <c r="AD51" s="2"/>
      <c r="AE51" s="2"/>
      <c r="AF51" s="2"/>
      <c r="AG51" s="2"/>
      <c r="AH51" s="2"/>
      <c r="AI51" s="3"/>
    </row>
    <row r="52" spans="1:35" hidden="1" outlineLevel="1">
      <c r="B52" s="4"/>
      <c r="J52" s="182"/>
      <c r="K52" s="66"/>
      <c r="L52" s="66"/>
      <c r="M52" s="66"/>
      <c r="N52" s="183"/>
      <c r="O52" s="131"/>
      <c r="P52" s="66"/>
      <c r="Q52" s="66"/>
      <c r="R52" s="117"/>
      <c r="S52" s="66"/>
      <c r="Y52" s="4"/>
      <c r="AI52" s="5"/>
    </row>
    <row r="53" spans="1:35" hidden="1" outlineLevel="1">
      <c r="B53" s="4"/>
      <c r="D53" s="6"/>
      <c r="E53" s="57"/>
      <c r="F53" s="57"/>
      <c r="G53" s="57"/>
      <c r="H53" s="57"/>
      <c r="J53" s="184"/>
      <c r="K53" s="132"/>
      <c r="L53" s="147"/>
      <c r="M53" s="147"/>
      <c r="N53" s="185"/>
      <c r="O53" s="123"/>
      <c r="P53" s="132"/>
      <c r="Q53" s="132"/>
      <c r="R53" s="112"/>
      <c r="S53" s="132"/>
      <c r="Y53" s="4"/>
      <c r="AI53" s="5"/>
    </row>
    <row r="54" spans="1:35" hidden="1" outlineLevel="1">
      <c r="B54" s="4"/>
      <c r="D54" s="6"/>
      <c r="E54" s="57"/>
      <c r="G54" s="57"/>
      <c r="H54" s="57"/>
      <c r="J54" s="186"/>
      <c r="N54" s="187"/>
      <c r="O54" s="131"/>
      <c r="P54" s="66"/>
      <c r="Q54" s="66"/>
      <c r="R54" s="111"/>
      <c r="Y54" s="4"/>
      <c r="AI54" s="5"/>
    </row>
    <row r="55" spans="1:35" hidden="1" outlineLevel="1">
      <c r="B55" s="4"/>
      <c r="J55" s="110"/>
      <c r="O55" s="131"/>
      <c r="P55" s="144"/>
      <c r="Q55" s="66"/>
      <c r="R55" s="146"/>
      <c r="Y55" s="4"/>
      <c r="AI55" s="5"/>
    </row>
    <row r="56" spans="1:35" hidden="1" outlineLevel="1">
      <c r="B56" s="4"/>
      <c r="J56" s="188"/>
      <c r="K56" s="71"/>
      <c r="L56" s="133"/>
      <c r="M56" s="133"/>
      <c r="N56" s="72"/>
      <c r="O56" s="113"/>
      <c r="P56" s="133"/>
      <c r="Q56" s="133"/>
      <c r="R56" s="121"/>
      <c r="S56" s="133"/>
      <c r="T56" s="10"/>
      <c r="V56" s="14"/>
      <c r="Y56" s="41"/>
      <c r="Z56" s="14"/>
      <c r="AA56" s="14"/>
      <c r="AB56" s="14"/>
      <c r="AC56" s="14"/>
      <c r="AE56" s="31"/>
      <c r="AF56" s="10"/>
      <c r="AG56" s="10"/>
      <c r="AH56" s="10"/>
      <c r="AI56" s="42"/>
    </row>
    <row r="57" spans="1:35" hidden="1" outlineLevel="1">
      <c r="B57" s="4"/>
      <c r="J57" s="188"/>
      <c r="K57" s="71"/>
      <c r="L57" s="133"/>
      <c r="M57" s="133"/>
      <c r="N57" s="72"/>
      <c r="O57" s="113"/>
      <c r="P57" s="133"/>
      <c r="Q57" s="133"/>
      <c r="R57" s="121"/>
      <c r="S57" s="133"/>
      <c r="T57" s="10"/>
      <c r="V57" s="14"/>
      <c r="W57" s="18"/>
      <c r="Y57" s="41"/>
      <c r="Z57" s="14"/>
      <c r="AA57" s="14"/>
      <c r="AB57" s="14"/>
      <c r="AC57" s="14"/>
      <c r="AE57" s="31"/>
      <c r="AF57" s="10"/>
      <c r="AG57" s="10"/>
      <c r="AH57" s="10"/>
      <c r="AI57" s="42"/>
    </row>
    <row r="58" spans="1:35" hidden="1" outlineLevel="1">
      <c r="B58" s="4"/>
      <c r="D58" s="6"/>
      <c r="E58" s="57"/>
      <c r="G58" s="57"/>
      <c r="H58" s="57"/>
      <c r="J58" s="188"/>
      <c r="K58" s="71"/>
      <c r="L58" s="133"/>
      <c r="M58" s="133"/>
      <c r="N58" s="72"/>
      <c r="O58" s="113"/>
      <c r="P58" s="133"/>
      <c r="Q58" s="133"/>
      <c r="R58" s="121"/>
      <c r="S58" s="133"/>
      <c r="T58" s="10"/>
      <c r="V58" s="14"/>
      <c r="Y58" s="41"/>
      <c r="Z58" s="14"/>
      <c r="AA58" s="14"/>
      <c r="AB58" s="14"/>
      <c r="AC58" s="14"/>
      <c r="AE58" s="31"/>
      <c r="AF58" s="10"/>
      <c r="AG58" s="10"/>
      <c r="AH58" s="10"/>
      <c r="AI58" s="42"/>
    </row>
    <row r="59" spans="1:35" hidden="1" outlineLevel="1">
      <c r="B59" s="8"/>
      <c r="C59" s="9"/>
      <c r="D59" s="9"/>
      <c r="E59" s="59"/>
      <c r="F59" s="59"/>
      <c r="G59" s="59"/>
      <c r="H59" s="59"/>
      <c r="I59" s="59"/>
      <c r="J59" s="189"/>
      <c r="K59" s="134"/>
      <c r="L59" s="116"/>
      <c r="M59" s="116"/>
      <c r="N59" s="190"/>
      <c r="O59" s="145"/>
      <c r="P59" s="116"/>
      <c r="Q59" s="116"/>
      <c r="R59" s="114"/>
      <c r="S59" s="74"/>
      <c r="Y59" s="8"/>
      <c r="Z59" s="9"/>
      <c r="AA59" s="9"/>
      <c r="AB59" s="9"/>
      <c r="AC59" s="9"/>
      <c r="AD59" s="9"/>
      <c r="AE59" s="9"/>
      <c r="AF59" s="9"/>
      <c r="AG59" s="9"/>
      <c r="AH59" s="9"/>
      <c r="AI59" s="43"/>
    </row>
    <row r="60" spans="1:35" hidden="1" outlineLevel="1">
      <c r="J60" s="193"/>
      <c r="K60" s="194"/>
      <c r="L60" s="119"/>
      <c r="M60" s="119"/>
      <c r="N60" s="191"/>
      <c r="O60" s="128"/>
      <c r="P60" s="119"/>
      <c r="Q60" s="119"/>
      <c r="R60" s="129"/>
      <c r="S60" s="74"/>
    </row>
    <row r="61" spans="1:35" ht="13.5" hidden="1" outlineLevel="1" thickBot="1">
      <c r="J61" s="192"/>
      <c r="K61" s="153" t="s">
        <v>124</v>
      </c>
      <c r="L61" s="153">
        <f>L60</f>
        <v>0</v>
      </c>
      <c r="M61" s="153">
        <f>((M59*(1+Q$10))-$L$8)/$L$8</f>
        <v>-1</v>
      </c>
      <c r="N61" s="154">
        <f>((N59*(1+R$10))-$L$8)/$L$8</f>
        <v>-1</v>
      </c>
      <c r="O61" s="74"/>
      <c r="P61" s="74"/>
      <c r="Q61" s="74"/>
      <c r="R61" s="74"/>
      <c r="S61" s="74"/>
    </row>
    <row r="62" spans="1:35" ht="13.5" hidden="1" outlineLevel="1" thickBot="1"/>
    <row r="63" spans="1:35" hidden="1" outlineLevel="1">
      <c r="A63" s="247"/>
      <c r="B63" s="249"/>
      <c r="C63" s="12"/>
      <c r="D63" s="12"/>
      <c r="E63" s="56"/>
      <c r="F63" s="56"/>
      <c r="G63" s="56"/>
      <c r="H63" s="56"/>
      <c r="I63" s="56"/>
      <c r="J63" s="179"/>
      <c r="K63" s="180"/>
      <c r="L63" s="180"/>
      <c r="M63" s="180"/>
      <c r="N63" s="181"/>
      <c r="O63" s="120"/>
      <c r="P63" s="56"/>
      <c r="Q63" s="56"/>
      <c r="R63" s="122"/>
      <c r="Y63" s="40"/>
      <c r="Z63" s="2"/>
      <c r="AA63" s="2"/>
      <c r="AB63" s="2"/>
      <c r="AC63" s="2"/>
      <c r="AD63" s="2"/>
      <c r="AE63" s="2"/>
      <c r="AF63" s="2"/>
      <c r="AG63" s="2"/>
      <c r="AH63" s="2"/>
      <c r="AI63" s="3"/>
    </row>
    <row r="64" spans="1:35" hidden="1" outlineLevel="1">
      <c r="B64" s="4"/>
      <c r="J64" s="182"/>
      <c r="K64" s="66"/>
      <c r="L64" s="66"/>
      <c r="M64" s="66"/>
      <c r="N64" s="183"/>
      <c r="O64" s="131"/>
      <c r="P64" s="66"/>
      <c r="Q64" s="66"/>
      <c r="R64" s="117"/>
      <c r="S64" s="66"/>
      <c r="Y64" s="4"/>
      <c r="AI64" s="5"/>
    </row>
    <row r="65" spans="1:35" hidden="1" outlineLevel="1">
      <c r="B65" s="4"/>
      <c r="D65" s="6"/>
      <c r="E65" s="6"/>
      <c r="F65" s="6"/>
      <c r="G65" s="6"/>
      <c r="H65" s="6"/>
      <c r="J65" s="184"/>
      <c r="K65" s="132"/>
      <c r="L65" s="147"/>
      <c r="M65" s="147"/>
      <c r="N65" s="185"/>
      <c r="O65" s="123"/>
      <c r="P65" s="132"/>
      <c r="Q65" s="132"/>
      <c r="R65" s="112"/>
      <c r="S65" s="132"/>
      <c r="Y65" s="4"/>
      <c r="AI65" s="5"/>
    </row>
    <row r="66" spans="1:35" hidden="1" outlineLevel="1">
      <c r="B66" s="4"/>
      <c r="D66" s="6"/>
      <c r="E66" s="6"/>
      <c r="F66" s="6"/>
      <c r="G66" s="6"/>
      <c r="H66" s="6"/>
      <c r="J66" s="186"/>
      <c r="N66" s="187"/>
      <c r="O66" s="131"/>
      <c r="P66" s="66"/>
      <c r="Q66" s="66"/>
      <c r="R66" s="111"/>
      <c r="Y66" s="4"/>
      <c r="AI66" s="5"/>
    </row>
    <row r="67" spans="1:35" hidden="1" outlineLevel="1">
      <c r="B67" s="4"/>
      <c r="J67" s="110"/>
      <c r="O67" s="131"/>
      <c r="P67" s="144"/>
      <c r="Q67" s="66"/>
      <c r="R67" s="146"/>
      <c r="Y67" s="4"/>
      <c r="AI67" s="5"/>
    </row>
    <row r="68" spans="1:35" hidden="1" outlineLevel="1">
      <c r="B68" s="4"/>
      <c r="D68" s="10"/>
      <c r="E68" s="10"/>
      <c r="F68" s="10"/>
      <c r="G68" s="10"/>
      <c r="H68" s="10"/>
      <c r="J68" s="188"/>
      <c r="K68" s="71"/>
      <c r="L68" s="286"/>
      <c r="M68" s="286"/>
      <c r="N68" s="286"/>
      <c r="O68" s="133"/>
      <c r="P68" s="133"/>
      <c r="Q68" s="133"/>
      <c r="R68" s="121"/>
      <c r="S68" s="133"/>
      <c r="T68" s="10"/>
      <c r="V68" s="14"/>
      <c r="Y68" s="41"/>
      <c r="Z68" s="14"/>
      <c r="AA68" s="14"/>
      <c r="AB68" s="14"/>
      <c r="AC68" s="14"/>
      <c r="AE68" s="31"/>
      <c r="AF68" s="10"/>
      <c r="AG68" s="10"/>
      <c r="AH68" s="10"/>
      <c r="AI68" s="42"/>
    </row>
    <row r="69" spans="1:35" hidden="1" outlineLevel="1">
      <c r="B69" s="4"/>
      <c r="D69" s="10"/>
      <c r="E69" s="58"/>
      <c r="F69" s="58"/>
      <c r="G69" s="58"/>
      <c r="H69" s="58"/>
      <c r="J69" s="188"/>
      <c r="K69" s="71"/>
      <c r="L69" s="133"/>
      <c r="M69" s="133"/>
      <c r="N69" s="72"/>
      <c r="O69" s="113"/>
      <c r="P69" s="133"/>
      <c r="Q69" s="133"/>
      <c r="R69" s="121"/>
      <c r="S69" s="133"/>
      <c r="T69" s="10"/>
      <c r="V69" s="14"/>
      <c r="W69" s="18"/>
      <c r="Y69" s="41"/>
      <c r="Z69" s="14"/>
      <c r="AA69" s="14"/>
      <c r="AB69" s="14"/>
      <c r="AC69" s="14"/>
      <c r="AE69" s="31"/>
      <c r="AF69" s="10"/>
      <c r="AG69" s="10"/>
      <c r="AH69" s="10"/>
      <c r="AI69" s="42"/>
    </row>
    <row r="70" spans="1:35" hidden="1" outlineLevel="1">
      <c r="B70" s="4"/>
      <c r="D70" s="6"/>
      <c r="E70" s="6"/>
      <c r="F70" s="6"/>
      <c r="G70" s="6"/>
      <c r="H70" s="6"/>
      <c r="J70" s="188"/>
      <c r="K70" s="71"/>
      <c r="L70" s="286"/>
      <c r="M70" s="286"/>
      <c r="N70" s="286"/>
      <c r="O70" s="133"/>
      <c r="P70" s="133"/>
      <c r="Q70" s="133"/>
      <c r="R70" s="121"/>
      <c r="S70" s="133"/>
      <c r="T70" s="10"/>
      <c r="V70" s="14"/>
      <c r="Y70" s="41"/>
      <c r="Z70" s="14"/>
      <c r="AA70" s="14"/>
      <c r="AB70" s="14"/>
      <c r="AC70" s="14"/>
      <c r="AE70" s="31"/>
      <c r="AF70" s="10"/>
      <c r="AG70" s="10"/>
      <c r="AH70" s="10"/>
      <c r="AI70" s="42"/>
    </row>
    <row r="71" spans="1:35" hidden="1" outlineLevel="1">
      <c r="B71" s="8"/>
      <c r="C71" s="9"/>
      <c r="D71" s="9"/>
      <c r="E71" s="59"/>
      <c r="F71" s="59"/>
      <c r="G71" s="59"/>
      <c r="H71" s="59"/>
      <c r="I71" s="59"/>
      <c r="J71" s="189"/>
      <c r="K71" s="134"/>
      <c r="L71" s="116"/>
      <c r="M71" s="116"/>
      <c r="N71" s="190"/>
      <c r="O71" s="145"/>
      <c r="P71" s="116"/>
      <c r="Q71" s="116"/>
      <c r="R71" s="114"/>
      <c r="S71" s="74"/>
      <c r="Y71" s="8"/>
      <c r="Z71" s="9"/>
      <c r="AA71" s="9"/>
      <c r="AB71" s="9"/>
      <c r="AC71" s="9"/>
      <c r="AD71" s="9"/>
      <c r="AE71" s="9"/>
      <c r="AF71" s="9"/>
      <c r="AG71" s="9"/>
      <c r="AH71" s="9"/>
      <c r="AI71" s="43"/>
    </row>
    <row r="72" spans="1:35" hidden="1" outlineLevel="1">
      <c r="J72" s="193"/>
      <c r="K72" s="194"/>
      <c r="L72" s="119"/>
      <c r="M72" s="119"/>
      <c r="N72" s="191"/>
      <c r="O72" s="128"/>
      <c r="P72" s="119"/>
      <c r="Q72" s="119"/>
      <c r="R72" s="129"/>
      <c r="S72" s="74"/>
    </row>
    <row r="73" spans="1:35" ht="13.5" hidden="1" outlineLevel="1" thickBot="1">
      <c r="J73" s="192"/>
      <c r="K73" s="153"/>
      <c r="L73" s="153"/>
      <c r="M73" s="153"/>
      <c r="N73" s="154"/>
      <c r="O73" s="74"/>
      <c r="P73" s="74"/>
      <c r="Q73" s="74"/>
      <c r="R73" s="74"/>
      <c r="S73" s="74"/>
    </row>
    <row r="74" spans="1:35" ht="13.5" collapsed="1" thickBot="1">
      <c r="J74" s="52"/>
      <c r="K74" s="74"/>
      <c r="L74" s="74"/>
      <c r="M74" s="74"/>
      <c r="N74" s="74"/>
      <c r="O74" s="74"/>
      <c r="P74" s="74"/>
      <c r="Q74" s="74"/>
      <c r="R74" s="74"/>
      <c r="S74" s="74"/>
    </row>
    <row r="75" spans="1:35">
      <c r="A75" s="247"/>
      <c r="B75" s="249" t="s">
        <v>132</v>
      </c>
      <c r="C75" s="250"/>
      <c r="D75" s="12"/>
      <c r="E75" s="56"/>
      <c r="F75" s="56"/>
      <c r="G75" s="56"/>
      <c r="H75" s="56"/>
      <c r="I75" s="56"/>
      <c r="J75" s="179"/>
      <c r="K75" s="180"/>
      <c r="L75" s="180"/>
      <c r="M75" s="180"/>
      <c r="N75" s="181"/>
      <c r="O75" s="120" t="s">
        <v>133</v>
      </c>
      <c r="P75" s="56"/>
      <c r="Q75" s="56"/>
      <c r="R75" s="122"/>
      <c r="S75" s="74"/>
    </row>
    <row r="76" spans="1:35">
      <c r="B76" s="4"/>
      <c r="D76" t="s">
        <v>89</v>
      </c>
      <c r="E76" s="13" t="s">
        <v>90</v>
      </c>
      <c r="F76" s="13" t="s">
        <v>91</v>
      </c>
      <c r="G76" s="13" t="s">
        <v>92</v>
      </c>
      <c r="H76" s="13" t="s">
        <v>93</v>
      </c>
      <c r="J76" s="182" t="s">
        <v>134</v>
      </c>
      <c r="K76" s="66" t="s">
        <v>135</v>
      </c>
      <c r="L76" s="66" t="s">
        <v>136</v>
      </c>
      <c r="M76" s="66" t="s">
        <v>136</v>
      </c>
      <c r="N76" s="183" t="s">
        <v>136</v>
      </c>
      <c r="O76" s="131"/>
      <c r="P76" s="66"/>
      <c r="Q76" s="66"/>
      <c r="R76" s="117"/>
      <c r="S76" s="74"/>
    </row>
    <row r="77" spans="1:35" ht="12.75" customHeight="1">
      <c r="B77" s="4" t="s">
        <v>137</v>
      </c>
      <c r="C77" t="s">
        <v>138</v>
      </c>
      <c r="D77" t="s">
        <v>139</v>
      </c>
      <c r="E77" t="s">
        <v>139</v>
      </c>
      <c r="F77" t="s">
        <v>139</v>
      </c>
      <c r="G77" t="s">
        <v>139</v>
      </c>
      <c r="H77" t="s">
        <v>139</v>
      </c>
      <c r="J77" s="184" t="s">
        <v>140</v>
      </c>
      <c r="K77" s="132" t="s">
        <v>140</v>
      </c>
      <c r="L77" s="147" t="s">
        <v>141</v>
      </c>
      <c r="M77" s="147" t="s">
        <v>140</v>
      </c>
      <c r="N77" s="185" t="s">
        <v>140</v>
      </c>
      <c r="O77" s="123"/>
      <c r="P77" s="132"/>
      <c r="Q77" s="132"/>
      <c r="R77" s="112"/>
      <c r="S77" s="74"/>
    </row>
    <row r="78" spans="1:35" ht="12.75" customHeight="1">
      <c r="B78" s="4" t="s">
        <v>142</v>
      </c>
      <c r="C78" t="s">
        <v>143</v>
      </c>
      <c r="D78" t="s">
        <v>139</v>
      </c>
      <c r="E78" t="s">
        <v>139</v>
      </c>
      <c r="F78" t="s">
        <v>139</v>
      </c>
      <c r="G78" t="s">
        <v>139</v>
      </c>
      <c r="H78" t="s">
        <v>139</v>
      </c>
      <c r="J78" s="186"/>
      <c r="L78" s="13" t="s">
        <v>12</v>
      </c>
      <c r="M78" s="13" t="s">
        <v>13</v>
      </c>
      <c r="N78" s="187" t="s">
        <v>144</v>
      </c>
      <c r="O78" s="131"/>
      <c r="P78" s="66"/>
      <c r="Q78" s="66"/>
      <c r="R78" s="111"/>
      <c r="S78" s="74"/>
    </row>
    <row r="79" spans="1:35">
      <c r="B79" s="4"/>
      <c r="J79" s="110"/>
      <c r="O79" s="131"/>
      <c r="P79" s="144"/>
      <c r="Q79" s="66"/>
      <c r="R79" s="146"/>
      <c r="S79" s="74"/>
    </row>
    <row r="80" spans="1:35">
      <c r="B80" s="4" t="s">
        <v>94</v>
      </c>
      <c r="D80" s="10">
        <v>1</v>
      </c>
      <c r="E80" s="10">
        <v>1</v>
      </c>
      <c r="F80" s="10">
        <v>1</v>
      </c>
      <c r="G80" s="10">
        <v>1</v>
      </c>
      <c r="H80" s="10">
        <v>1</v>
      </c>
      <c r="J80" s="188">
        <f>(SUM(D80:I80)*J$11)</f>
        <v>200</v>
      </c>
      <c r="K80" s="71">
        <f>(5*10.5*K$11)</f>
        <v>630</v>
      </c>
      <c r="L80" s="286">
        <f>K80+J80</f>
        <v>830</v>
      </c>
      <c r="M80" s="286">
        <f>J80+8*10.5*5</f>
        <v>620</v>
      </c>
      <c r="N80" s="286">
        <f>J80</f>
        <v>200</v>
      </c>
      <c r="O80" s="133"/>
      <c r="P80" s="133"/>
      <c r="Q80" s="133"/>
      <c r="R80" s="121"/>
      <c r="S80" s="74"/>
    </row>
    <row r="81" spans="2:35">
      <c r="B81" s="4" t="s">
        <v>95</v>
      </c>
      <c r="D81" s="10">
        <f>D80+D82</f>
        <v>5</v>
      </c>
      <c r="E81" s="58">
        <f>E80+E82</f>
        <v>5</v>
      </c>
      <c r="F81" s="58">
        <f>F80+F82</f>
        <v>5</v>
      </c>
      <c r="G81" s="58">
        <f>G80+G82</f>
        <v>5</v>
      </c>
      <c r="H81" s="58">
        <f>H80+H82</f>
        <v>5</v>
      </c>
      <c r="J81" s="188">
        <f>J80+J82</f>
        <v>1000</v>
      </c>
      <c r="K81" s="71">
        <f>K80</f>
        <v>630</v>
      </c>
      <c r="L81" s="133">
        <f>K81+J81</f>
        <v>1630</v>
      </c>
      <c r="M81" s="133">
        <f>J81+8*10.5*5</f>
        <v>1420</v>
      </c>
      <c r="N81" s="72">
        <f>J81</f>
        <v>1000</v>
      </c>
      <c r="O81" s="113"/>
      <c r="P81" s="133"/>
      <c r="Q81" s="133"/>
      <c r="R81" s="121"/>
      <c r="S81" s="74"/>
    </row>
    <row r="82" spans="2:35">
      <c r="B82" s="4" t="s">
        <v>96</v>
      </c>
      <c r="D82" s="6">
        <v>4</v>
      </c>
      <c r="E82" s="6">
        <v>4</v>
      </c>
      <c r="F82" s="6">
        <v>4</v>
      </c>
      <c r="G82" s="6">
        <v>4</v>
      </c>
      <c r="H82" s="6">
        <v>4</v>
      </c>
      <c r="J82" s="188">
        <f>(SUM(D82:I82)*J$11)</f>
        <v>800</v>
      </c>
      <c r="K82" s="71">
        <f>(5*10.5*K$11)</f>
        <v>630</v>
      </c>
      <c r="L82" s="286">
        <f>K82+J82</f>
        <v>1430</v>
      </c>
      <c r="M82" s="286">
        <f>J82+8*10.5*5</f>
        <v>1220</v>
      </c>
      <c r="N82" s="286">
        <f>J82</f>
        <v>800</v>
      </c>
      <c r="O82" s="133">
        <f>M82/5</f>
        <v>244</v>
      </c>
      <c r="P82" s="133"/>
      <c r="Q82" s="133"/>
      <c r="R82" s="121"/>
      <c r="S82" s="74"/>
    </row>
    <row r="83" spans="2:35">
      <c r="B83" s="8"/>
      <c r="C83" s="9"/>
      <c r="D83" s="9"/>
      <c r="E83" s="59"/>
      <c r="F83" s="59"/>
      <c r="G83" s="59"/>
      <c r="H83" s="59"/>
      <c r="I83" s="59"/>
      <c r="J83" s="189"/>
      <c r="K83" s="134" t="s">
        <v>97</v>
      </c>
      <c r="L83" s="116">
        <f t="shared" ref="L83" si="9">10%*L80+20%*L81+70%*L82</f>
        <v>1410</v>
      </c>
      <c r="M83" s="116">
        <f>10%*M80+20%*M81+70%*M82</f>
        <v>1200</v>
      </c>
      <c r="N83" s="190">
        <f>10%*N80+20%*N81+70%*N82</f>
        <v>780</v>
      </c>
      <c r="O83" s="145"/>
      <c r="P83" s="116"/>
      <c r="Q83" s="116"/>
      <c r="R83" s="114"/>
      <c r="S83" s="74"/>
    </row>
    <row r="84" spans="2:35">
      <c r="J84" s="193"/>
      <c r="K84" s="194" t="s">
        <v>123</v>
      </c>
      <c r="L84" s="119">
        <f>(L83-L$8)/L$8</f>
        <v>3.0701754385964911E-2</v>
      </c>
      <c r="M84" s="119">
        <f>(M83-L$8)/L$8</f>
        <v>-0.12280701754385964</v>
      </c>
      <c r="N84" s="191">
        <f>(N83-L$8)/L$8</f>
        <v>-0.42982456140350878</v>
      </c>
      <c r="O84" s="128"/>
      <c r="P84" s="119"/>
      <c r="Q84" s="119"/>
      <c r="R84" s="129"/>
      <c r="S84" s="74"/>
    </row>
    <row r="85" spans="2:35" ht="13.5" thickBot="1">
      <c r="J85" s="192"/>
      <c r="K85" s="153" t="s">
        <v>124</v>
      </c>
      <c r="L85" s="153">
        <f>L84</f>
        <v>3.0701754385964911E-2</v>
      </c>
      <c r="M85" s="153">
        <f>((M83*(1+Q$10))-$L$8)/$L$8</f>
        <v>-7.8947368421052627E-2</v>
      </c>
      <c r="N85" s="154">
        <f>((N83*(1+R$10))-$L$8)/$L$8</f>
        <v>-0.36140350877192973</v>
      </c>
      <c r="O85" s="74"/>
      <c r="P85" s="74"/>
      <c r="Q85" s="74"/>
      <c r="R85" s="74"/>
      <c r="S85" s="74"/>
    </row>
    <row r="86" spans="2:35" ht="12.75" hidden="1" customHeight="1" outlineLevel="2">
      <c r="J86" s="52"/>
      <c r="K86" s="74"/>
      <c r="L86" s="74"/>
      <c r="M86" s="74"/>
      <c r="N86" s="74"/>
      <c r="O86" s="74"/>
      <c r="P86" s="74"/>
      <c r="Q86" s="74"/>
      <c r="R86" s="74"/>
      <c r="S86" s="74"/>
    </row>
    <row r="87" spans="2:35" ht="13.5" hidden="1" customHeight="1" outlineLevel="2" thickBot="1">
      <c r="Y87" s="40"/>
      <c r="Z87" s="2"/>
      <c r="AA87" s="2"/>
      <c r="AB87" s="2"/>
      <c r="AC87" s="2"/>
      <c r="AD87" s="2"/>
      <c r="AE87" s="2"/>
      <c r="AF87" s="2"/>
      <c r="AG87" s="2"/>
      <c r="AH87" s="2"/>
      <c r="AI87" s="3"/>
    </row>
    <row r="88" spans="2:35" ht="12.75" hidden="1" customHeight="1" outlineLevel="2">
      <c r="B88" s="1"/>
      <c r="C88" s="12"/>
      <c r="D88" s="12"/>
      <c r="E88" s="56"/>
      <c r="F88" s="56"/>
      <c r="G88" s="56"/>
      <c r="H88" s="56"/>
      <c r="I88" s="56"/>
      <c r="J88" s="179"/>
      <c r="K88" s="180"/>
      <c r="L88" s="180"/>
      <c r="M88" s="180"/>
      <c r="N88" s="181"/>
      <c r="O88" s="120"/>
      <c r="P88" s="56"/>
      <c r="Q88" s="56"/>
      <c r="R88" s="122"/>
      <c r="Y88" s="4"/>
      <c r="AI88" s="5"/>
    </row>
    <row r="89" spans="2:35" ht="12.75" hidden="1" customHeight="1" outlineLevel="2">
      <c r="B89" s="4"/>
      <c r="J89" s="182"/>
      <c r="K89" s="66"/>
      <c r="L89" s="66"/>
      <c r="M89" s="66"/>
      <c r="N89" s="183"/>
      <c r="O89" s="131"/>
      <c r="P89" s="66"/>
      <c r="Q89" s="66"/>
      <c r="R89" s="117"/>
      <c r="S89" s="66"/>
      <c r="Y89" s="4"/>
      <c r="AI89" s="5"/>
    </row>
    <row r="90" spans="2:35" ht="12.75" hidden="1" customHeight="1" outlineLevel="2">
      <c r="B90" s="4"/>
      <c r="D90" s="6"/>
      <c r="E90" s="57"/>
      <c r="F90" s="57"/>
      <c r="G90" s="57"/>
      <c r="H90" s="57"/>
      <c r="J90" s="184"/>
      <c r="K90" s="132"/>
      <c r="L90" s="147"/>
      <c r="M90" s="147"/>
      <c r="N90" s="185"/>
      <c r="O90" s="123"/>
      <c r="P90" s="132"/>
      <c r="Q90" s="132"/>
      <c r="R90" s="112"/>
      <c r="S90" s="132"/>
      <c r="Y90" s="4"/>
      <c r="AI90" s="5"/>
    </row>
    <row r="91" spans="2:35" ht="12.75" hidden="1" customHeight="1" outlineLevel="2">
      <c r="B91" s="4"/>
      <c r="D91" s="6"/>
      <c r="E91" s="57"/>
      <c r="F91" s="57"/>
      <c r="G91" s="57"/>
      <c r="H91" s="57"/>
      <c r="J91" s="186"/>
      <c r="N91" s="187"/>
      <c r="O91" s="131"/>
      <c r="P91" s="66"/>
      <c r="Q91" s="66"/>
      <c r="R91" s="111"/>
      <c r="Y91" s="4"/>
      <c r="AI91" s="5"/>
    </row>
    <row r="92" spans="2:35" ht="12.75" hidden="1" customHeight="1" outlineLevel="2">
      <c r="B92" s="4"/>
      <c r="J92" s="110"/>
      <c r="O92" s="131"/>
      <c r="P92" s="144"/>
      <c r="Q92" s="66"/>
      <c r="R92" s="146"/>
      <c r="Y92" s="4"/>
      <c r="AI92" s="5"/>
    </row>
    <row r="93" spans="2:35" ht="12.75" hidden="1" customHeight="1" outlineLevel="2">
      <c r="B93" s="4"/>
      <c r="D93" s="10"/>
      <c r="E93" s="58"/>
      <c r="F93" s="58"/>
      <c r="G93" s="58"/>
      <c r="H93" s="58"/>
      <c r="J93" s="188"/>
      <c r="K93" s="71"/>
      <c r="L93" s="133"/>
      <c r="M93" s="133"/>
      <c r="N93" s="72"/>
      <c r="O93" s="113"/>
      <c r="P93" s="133"/>
      <c r="Q93" s="133"/>
      <c r="R93" s="121"/>
      <c r="S93" s="133"/>
      <c r="T93" s="10"/>
      <c r="V93" s="14"/>
      <c r="Y93" s="41"/>
      <c r="Z93" s="14"/>
      <c r="AA93" s="14"/>
      <c r="AB93" s="14"/>
      <c r="AC93" s="14"/>
      <c r="AE93" s="31"/>
      <c r="AF93" s="10"/>
      <c r="AG93" s="10"/>
      <c r="AH93" s="10"/>
      <c r="AI93" s="42"/>
    </row>
    <row r="94" spans="2:35" ht="12.75" hidden="1" customHeight="1" outlineLevel="2">
      <c r="B94" s="4"/>
      <c r="D94" s="10"/>
      <c r="E94" s="58"/>
      <c r="F94" s="58"/>
      <c r="G94" s="58"/>
      <c r="H94" s="58"/>
      <c r="J94" s="188"/>
      <c r="K94" s="71"/>
      <c r="L94" s="133"/>
      <c r="M94" s="133"/>
      <c r="N94" s="72"/>
      <c r="O94" s="113"/>
      <c r="P94" s="133"/>
      <c r="Q94" s="133"/>
      <c r="R94" s="121"/>
      <c r="S94" s="133"/>
      <c r="T94" s="10"/>
      <c r="V94" s="14"/>
      <c r="W94" s="18"/>
      <c r="Y94" s="41"/>
      <c r="Z94" s="14"/>
      <c r="AA94" s="14"/>
      <c r="AB94" s="14"/>
      <c r="AC94" s="14"/>
      <c r="AE94" s="31"/>
      <c r="AF94" s="10"/>
      <c r="AG94" s="10"/>
      <c r="AH94" s="10"/>
      <c r="AI94" s="42"/>
    </row>
    <row r="95" spans="2:35" ht="12.75" hidden="1" customHeight="1" outlineLevel="2">
      <c r="B95" s="4"/>
      <c r="D95" s="6"/>
      <c r="E95" s="57"/>
      <c r="G95" s="57"/>
      <c r="H95" s="57"/>
      <c r="J95" s="188"/>
      <c r="K95" s="71"/>
      <c r="L95" s="133"/>
      <c r="M95" s="133"/>
      <c r="N95" s="72"/>
      <c r="O95" s="113"/>
      <c r="P95" s="133"/>
      <c r="Q95" s="133"/>
      <c r="R95" s="121"/>
      <c r="S95" s="133"/>
      <c r="T95" s="10"/>
      <c r="V95" s="14"/>
      <c r="Y95" s="41"/>
      <c r="Z95" s="14"/>
      <c r="AA95" s="14"/>
      <c r="AB95" s="14"/>
      <c r="AC95" s="14"/>
      <c r="AE95" s="31"/>
      <c r="AF95" s="10"/>
      <c r="AG95" s="10"/>
      <c r="AH95" s="10"/>
      <c r="AI95" s="42"/>
    </row>
    <row r="96" spans="2:35" ht="12.75" hidden="1" customHeight="1" outlineLevel="2">
      <c r="B96" s="8"/>
      <c r="C96" s="9"/>
      <c r="D96" s="9"/>
      <c r="E96" s="59"/>
      <c r="F96" s="59"/>
      <c r="G96" s="59"/>
      <c r="H96" s="59"/>
      <c r="I96" s="59"/>
      <c r="J96" s="189"/>
      <c r="K96" s="134"/>
      <c r="L96" s="116"/>
      <c r="M96" s="116"/>
      <c r="N96" s="190"/>
      <c r="O96" s="145"/>
      <c r="P96" s="116"/>
      <c r="Q96" s="116"/>
      <c r="R96" s="114"/>
      <c r="S96" s="74"/>
      <c r="Y96" s="8"/>
      <c r="Z96" s="9"/>
      <c r="AA96" s="9"/>
      <c r="AB96" s="9"/>
      <c r="AC96" s="9"/>
      <c r="AD96" s="9"/>
      <c r="AE96" s="9"/>
      <c r="AF96" s="9"/>
      <c r="AG96" s="9"/>
      <c r="AH96" s="9"/>
      <c r="AI96" s="43"/>
    </row>
    <row r="97" spans="2:35" ht="12.75" hidden="1" customHeight="1" outlineLevel="2">
      <c r="J97" s="193"/>
      <c r="K97" s="194"/>
      <c r="L97" s="119"/>
      <c r="M97" s="119"/>
      <c r="N97" s="191"/>
      <c r="O97" s="128"/>
      <c r="P97" s="119"/>
      <c r="Q97" s="119"/>
      <c r="R97" s="129"/>
      <c r="S97" s="74"/>
    </row>
    <row r="98" spans="2:35" ht="13.5" hidden="1" customHeight="1" outlineLevel="2" thickBot="1">
      <c r="J98" s="192"/>
      <c r="K98" s="153"/>
      <c r="L98" s="153"/>
      <c r="M98" s="153"/>
      <c r="N98" s="154"/>
      <c r="O98" s="74"/>
      <c r="P98" s="74"/>
      <c r="Q98" s="74"/>
      <c r="R98" s="74"/>
      <c r="S98" s="74"/>
    </row>
    <row r="99" spans="2:35" ht="13.5" hidden="1" customHeight="1" outlineLevel="2" thickBot="1"/>
    <row r="100" spans="2:35" ht="12.75" hidden="1" customHeight="1" outlineLevel="2">
      <c r="B100" s="1"/>
      <c r="C100" s="12"/>
      <c r="D100" s="12"/>
      <c r="E100" s="56"/>
      <c r="F100" s="56"/>
      <c r="G100" s="56"/>
      <c r="H100" s="56"/>
      <c r="I100" s="56"/>
      <c r="J100" s="179"/>
      <c r="K100" s="180"/>
      <c r="L100" s="180"/>
      <c r="M100" s="180"/>
      <c r="N100" s="181"/>
      <c r="O100" s="120"/>
      <c r="P100" s="56"/>
      <c r="Q100" s="56"/>
      <c r="R100" s="122"/>
      <c r="Y100" s="40"/>
      <c r="Z100" s="2"/>
      <c r="AA100" s="2"/>
      <c r="AB100" s="2"/>
      <c r="AC100" s="2"/>
      <c r="AD100" s="2"/>
      <c r="AE100" s="2"/>
      <c r="AF100" s="2"/>
      <c r="AG100" s="2"/>
      <c r="AH100" s="2"/>
      <c r="AI100" s="3"/>
    </row>
    <row r="101" spans="2:35" ht="12.75" hidden="1" customHeight="1" outlineLevel="2">
      <c r="B101" s="4"/>
      <c r="J101" s="182"/>
      <c r="K101" s="66"/>
      <c r="L101" s="66"/>
      <c r="M101" s="66"/>
      <c r="N101" s="183"/>
      <c r="O101" s="131"/>
      <c r="P101" s="66"/>
      <c r="Q101" s="66"/>
      <c r="R101" s="117"/>
      <c r="S101" s="66"/>
      <c r="Y101" s="4"/>
      <c r="AI101" s="5"/>
    </row>
    <row r="102" spans="2:35" ht="12.75" hidden="1" customHeight="1" outlineLevel="2">
      <c r="B102" s="4"/>
      <c r="D102" s="6"/>
      <c r="E102" s="57"/>
      <c r="F102" s="57"/>
      <c r="G102" s="57"/>
      <c r="H102" s="57"/>
      <c r="J102" s="184"/>
      <c r="K102" s="132"/>
      <c r="L102" s="147"/>
      <c r="M102" s="147"/>
      <c r="N102" s="185"/>
      <c r="O102" s="123"/>
      <c r="P102" s="132"/>
      <c r="Q102" s="132"/>
      <c r="R102" s="112"/>
      <c r="S102" s="132"/>
      <c r="Y102" s="4"/>
      <c r="AI102" s="5"/>
    </row>
    <row r="103" spans="2:35" ht="12.75" hidden="1" customHeight="1" outlineLevel="2">
      <c r="B103" s="4"/>
      <c r="D103" s="6"/>
      <c r="E103" s="57"/>
      <c r="F103" s="57"/>
      <c r="G103" s="57"/>
      <c r="H103" s="57"/>
      <c r="J103" s="186"/>
      <c r="N103" s="187"/>
      <c r="O103" s="131"/>
      <c r="P103" s="66"/>
      <c r="Q103" s="66"/>
      <c r="R103" s="111"/>
      <c r="Y103" s="4"/>
      <c r="AI103" s="5"/>
    </row>
    <row r="104" spans="2:35" ht="12.75" hidden="1" customHeight="1" outlineLevel="2">
      <c r="B104" s="4"/>
      <c r="J104" s="110"/>
      <c r="O104" s="131"/>
      <c r="P104" s="144"/>
      <c r="Q104" s="66"/>
      <c r="R104" s="146"/>
      <c r="Y104" s="4"/>
      <c r="AI104" s="5"/>
    </row>
    <row r="105" spans="2:35" ht="12.75" hidden="1" customHeight="1" outlineLevel="2">
      <c r="B105" s="4"/>
      <c r="J105" s="188"/>
      <c r="K105" s="71"/>
      <c r="L105" s="133"/>
      <c r="M105" s="133"/>
      <c r="N105" s="72"/>
      <c r="O105" s="113"/>
      <c r="P105" s="133"/>
      <c r="Q105" s="133"/>
      <c r="R105" s="121"/>
      <c r="S105" s="133"/>
      <c r="T105" s="10"/>
      <c r="V105" s="14"/>
      <c r="Y105" s="41"/>
      <c r="Z105" s="14"/>
      <c r="AA105" s="14"/>
      <c r="AB105" s="14"/>
      <c r="AC105" s="14"/>
      <c r="AE105" s="31"/>
      <c r="AF105" s="10"/>
      <c r="AG105" s="10"/>
      <c r="AH105" s="10"/>
      <c r="AI105" s="42"/>
    </row>
    <row r="106" spans="2:35" ht="12.75" hidden="1" customHeight="1" outlineLevel="2">
      <c r="B106" s="4"/>
      <c r="J106" s="188"/>
      <c r="K106" s="71"/>
      <c r="L106" s="133"/>
      <c r="M106" s="133"/>
      <c r="N106" s="72"/>
      <c r="O106" s="113"/>
      <c r="P106" s="133"/>
      <c r="Q106" s="133"/>
      <c r="R106" s="121"/>
      <c r="S106" s="133"/>
      <c r="T106" s="10"/>
      <c r="V106" s="14"/>
      <c r="W106" s="18"/>
      <c r="Y106" s="41"/>
      <c r="Z106" s="14"/>
      <c r="AA106" s="14"/>
      <c r="AB106" s="14"/>
      <c r="AC106" s="14"/>
      <c r="AE106" s="31"/>
      <c r="AF106" s="10"/>
      <c r="AG106" s="10"/>
      <c r="AH106" s="10"/>
      <c r="AI106" s="42"/>
    </row>
    <row r="107" spans="2:35" ht="12.75" hidden="1" customHeight="1" outlineLevel="2">
      <c r="B107" s="4"/>
      <c r="D107" s="6"/>
      <c r="E107" s="57"/>
      <c r="G107" s="57"/>
      <c r="H107" s="57"/>
      <c r="J107" s="188"/>
      <c r="K107" s="71"/>
      <c r="L107" s="133"/>
      <c r="M107" s="133"/>
      <c r="N107" s="72"/>
      <c r="O107" s="113"/>
      <c r="P107" s="133"/>
      <c r="Q107" s="133"/>
      <c r="R107" s="121"/>
      <c r="S107" s="133"/>
      <c r="T107" s="10"/>
      <c r="V107" s="14"/>
      <c r="Y107" s="41"/>
      <c r="Z107" s="14"/>
      <c r="AA107" s="14"/>
      <c r="AB107" s="14"/>
      <c r="AC107" s="14"/>
      <c r="AE107" s="31"/>
      <c r="AF107" s="10"/>
      <c r="AG107" s="10"/>
      <c r="AH107" s="10"/>
      <c r="AI107" s="42"/>
    </row>
    <row r="108" spans="2:35" ht="12.75" hidden="1" customHeight="1" outlineLevel="2">
      <c r="B108" s="8"/>
      <c r="C108" s="9"/>
      <c r="D108" s="9"/>
      <c r="E108" s="59"/>
      <c r="F108" s="59"/>
      <c r="G108" s="59"/>
      <c r="H108" s="59"/>
      <c r="I108" s="59"/>
      <c r="J108" s="189"/>
      <c r="K108" s="134"/>
      <c r="L108" s="116"/>
      <c r="M108" s="116"/>
      <c r="N108" s="190"/>
      <c r="O108" s="145"/>
      <c r="P108" s="116"/>
      <c r="Q108" s="116"/>
      <c r="R108" s="114"/>
      <c r="S108" s="74"/>
      <c r="Y108" s="8"/>
      <c r="Z108" s="9"/>
      <c r="AA108" s="9"/>
      <c r="AB108" s="9"/>
      <c r="AC108" s="9"/>
      <c r="AD108" s="9"/>
      <c r="AE108" s="9"/>
      <c r="AF108" s="9"/>
      <c r="AG108" s="9"/>
      <c r="AH108" s="9"/>
      <c r="AI108" s="43"/>
    </row>
    <row r="109" spans="2:35" ht="12.75" hidden="1" customHeight="1" outlineLevel="2">
      <c r="J109" s="193"/>
      <c r="K109" s="194"/>
      <c r="L109" s="119"/>
      <c r="M109" s="119"/>
      <c r="N109" s="191"/>
      <c r="O109" s="128"/>
      <c r="P109" s="119"/>
      <c r="Q109" s="119"/>
      <c r="R109" s="129"/>
      <c r="S109" s="74"/>
    </row>
    <row r="110" spans="2:35" ht="13.5" hidden="1" customHeight="1" outlineLevel="2" thickBot="1">
      <c r="J110" s="192"/>
      <c r="K110" s="153"/>
      <c r="L110" s="153"/>
      <c r="M110" s="153"/>
      <c r="N110" s="154"/>
      <c r="O110" s="74"/>
      <c r="P110" s="74"/>
      <c r="Q110" s="74"/>
      <c r="R110" s="74"/>
      <c r="S110" s="74"/>
    </row>
    <row r="111" spans="2:35" ht="13.5" hidden="1" customHeight="1" outlineLevel="2" thickBot="1"/>
    <row r="112" spans="2:35" ht="12.75" hidden="1" customHeight="1" outlineLevel="2">
      <c r="B112" s="1"/>
      <c r="C112" s="12"/>
      <c r="D112" s="12"/>
      <c r="E112" s="56"/>
      <c r="F112" s="56"/>
      <c r="G112" s="56"/>
      <c r="H112" s="56"/>
      <c r="I112" s="56"/>
      <c r="J112" s="179"/>
      <c r="K112" s="180"/>
      <c r="L112" s="180"/>
      <c r="M112" s="180"/>
      <c r="N112" s="181"/>
      <c r="O112" s="120"/>
      <c r="P112" s="56"/>
      <c r="Q112" s="56"/>
      <c r="R112" s="122"/>
      <c r="Y112" s="40"/>
      <c r="Z112" s="2"/>
      <c r="AA112" s="2"/>
      <c r="AB112" s="2"/>
      <c r="AC112" s="2"/>
      <c r="AD112" s="2"/>
      <c r="AE112" s="2"/>
      <c r="AF112" s="2"/>
      <c r="AG112" s="2"/>
      <c r="AH112" s="2"/>
      <c r="AI112" s="3"/>
    </row>
    <row r="113" spans="2:35" ht="12.75" hidden="1" customHeight="1" outlineLevel="2">
      <c r="B113" s="4"/>
      <c r="J113" s="182"/>
      <c r="K113" s="66"/>
      <c r="L113" s="66"/>
      <c r="M113" s="66"/>
      <c r="N113" s="183"/>
      <c r="O113" s="131"/>
      <c r="P113" s="66"/>
      <c r="Q113" s="66"/>
      <c r="R113" s="117"/>
      <c r="S113" s="66"/>
      <c r="Y113" s="4"/>
      <c r="AI113" s="5"/>
    </row>
    <row r="114" spans="2:35" ht="12.75" hidden="1" customHeight="1" outlineLevel="2">
      <c r="B114" s="4"/>
      <c r="D114" s="6"/>
      <c r="E114" s="57"/>
      <c r="F114" s="57"/>
      <c r="G114" s="57"/>
      <c r="H114" s="57"/>
      <c r="J114" s="184"/>
      <c r="K114" s="132"/>
      <c r="L114" s="147"/>
      <c r="M114" s="147"/>
      <c r="N114" s="185"/>
      <c r="O114" s="123"/>
      <c r="P114" s="132"/>
      <c r="Q114" s="132"/>
      <c r="R114" s="112"/>
      <c r="S114" s="132"/>
      <c r="Y114" s="4"/>
      <c r="AI114" s="5"/>
    </row>
    <row r="115" spans="2:35" ht="12.75" hidden="1" customHeight="1" outlineLevel="2">
      <c r="B115" s="4"/>
      <c r="D115" s="6"/>
      <c r="E115" s="57"/>
      <c r="F115" s="57"/>
      <c r="G115" s="57"/>
      <c r="H115" s="57"/>
      <c r="J115" s="186"/>
      <c r="N115" s="187"/>
      <c r="O115" s="131"/>
      <c r="P115" s="66"/>
      <c r="Q115" s="66"/>
      <c r="R115" s="111"/>
      <c r="Y115" s="4"/>
      <c r="AI115" s="5"/>
    </row>
    <row r="116" spans="2:35" ht="12.75" hidden="1" customHeight="1" outlineLevel="2">
      <c r="B116" s="4"/>
      <c r="J116" s="110"/>
      <c r="O116" s="131"/>
      <c r="P116" s="144"/>
      <c r="Q116" s="66"/>
      <c r="R116" s="146"/>
      <c r="Y116" s="4"/>
      <c r="AI116" s="5"/>
    </row>
    <row r="117" spans="2:35" ht="12.75" hidden="1" customHeight="1" outlineLevel="2">
      <c r="B117" s="4"/>
      <c r="J117" s="188"/>
      <c r="K117" s="71"/>
      <c r="L117" s="133"/>
      <c r="M117" s="133"/>
      <c r="N117" s="72"/>
      <c r="O117" s="113"/>
      <c r="P117" s="133"/>
      <c r="Q117" s="133"/>
      <c r="R117" s="121"/>
      <c r="S117" s="133"/>
      <c r="T117" s="10"/>
      <c r="V117" s="14"/>
      <c r="Y117" s="41"/>
      <c r="Z117" s="14"/>
      <c r="AA117" s="14"/>
      <c r="AB117" s="14"/>
      <c r="AC117" s="14"/>
      <c r="AE117" s="31"/>
      <c r="AF117" s="10"/>
      <c r="AG117" s="10"/>
      <c r="AH117" s="10"/>
      <c r="AI117" s="42"/>
    </row>
    <row r="118" spans="2:35" ht="12.75" hidden="1" customHeight="1" outlineLevel="2">
      <c r="B118" s="4"/>
      <c r="J118" s="188"/>
      <c r="K118" s="71"/>
      <c r="L118" s="133"/>
      <c r="M118" s="133"/>
      <c r="N118" s="72"/>
      <c r="O118" s="113"/>
      <c r="P118" s="133"/>
      <c r="Q118" s="133"/>
      <c r="R118" s="121"/>
      <c r="S118" s="133"/>
      <c r="T118" s="10"/>
      <c r="V118" s="14"/>
      <c r="W118" s="18"/>
      <c r="Y118" s="41"/>
      <c r="Z118" s="14"/>
      <c r="AA118" s="14"/>
      <c r="AB118" s="14"/>
      <c r="AC118" s="14"/>
      <c r="AE118" s="31"/>
      <c r="AF118" s="10"/>
      <c r="AG118" s="10"/>
      <c r="AH118" s="10"/>
      <c r="AI118" s="42"/>
    </row>
    <row r="119" spans="2:35" ht="12.75" hidden="1" customHeight="1" outlineLevel="2">
      <c r="B119" s="4"/>
      <c r="D119" s="6"/>
      <c r="E119" s="57"/>
      <c r="G119" s="57"/>
      <c r="H119" s="57"/>
      <c r="J119" s="188"/>
      <c r="K119" s="71"/>
      <c r="L119" s="133"/>
      <c r="M119" s="133"/>
      <c r="N119" s="72"/>
      <c r="O119" s="113"/>
      <c r="P119" s="133"/>
      <c r="Q119" s="133"/>
      <c r="R119" s="121"/>
      <c r="S119" s="133"/>
      <c r="T119" s="10"/>
      <c r="V119" s="14"/>
      <c r="Y119" s="41"/>
      <c r="Z119" s="14"/>
      <c r="AA119" s="14"/>
      <c r="AB119" s="14"/>
      <c r="AC119" s="14"/>
      <c r="AE119" s="31"/>
      <c r="AF119" s="10"/>
      <c r="AG119" s="10"/>
      <c r="AH119" s="10"/>
      <c r="AI119" s="42"/>
    </row>
    <row r="120" spans="2:35" ht="12.75" hidden="1" customHeight="1" outlineLevel="2">
      <c r="B120" s="8"/>
      <c r="C120" s="9"/>
      <c r="D120" s="9"/>
      <c r="E120" s="59"/>
      <c r="F120" s="59"/>
      <c r="G120" s="59"/>
      <c r="H120" s="59"/>
      <c r="I120" s="59"/>
      <c r="J120" s="189"/>
      <c r="K120" s="134"/>
      <c r="L120" s="116"/>
      <c r="M120" s="116"/>
      <c r="N120" s="190"/>
      <c r="O120" s="145"/>
      <c r="P120" s="116"/>
      <c r="Q120" s="116"/>
      <c r="R120" s="114"/>
      <c r="S120" s="74"/>
      <c r="Y120" s="8"/>
      <c r="Z120" s="9"/>
      <c r="AA120" s="9"/>
      <c r="AB120" s="9"/>
      <c r="AC120" s="9"/>
      <c r="AD120" s="9"/>
      <c r="AE120" s="9"/>
      <c r="AF120" s="9"/>
      <c r="AG120" s="9"/>
      <c r="AH120" s="9"/>
      <c r="AI120" s="43"/>
    </row>
    <row r="121" spans="2:35" ht="12.75" hidden="1" customHeight="1" outlineLevel="2">
      <c r="J121" s="193"/>
      <c r="K121" s="194"/>
      <c r="L121" s="119"/>
      <c r="M121" s="119"/>
      <c r="N121" s="191"/>
      <c r="O121" s="128"/>
      <c r="P121" s="119"/>
      <c r="Q121" s="119"/>
      <c r="R121" s="129"/>
      <c r="S121" s="74"/>
    </row>
    <row r="122" spans="2:35" ht="13.5" hidden="1" customHeight="1" outlineLevel="2" thickBot="1">
      <c r="J122" s="192"/>
      <c r="K122" s="153"/>
      <c r="L122" s="153"/>
      <c r="M122" s="153"/>
      <c r="N122" s="154"/>
      <c r="O122" s="74"/>
      <c r="P122" s="74"/>
      <c r="Q122" s="74"/>
      <c r="R122" s="74"/>
      <c r="S122" s="74"/>
    </row>
    <row r="123" spans="2:35" ht="13.5" hidden="1" customHeight="1" outlineLevel="2" thickBot="1">
      <c r="J123" s="70"/>
    </row>
    <row r="124" spans="2:35" ht="12.75" hidden="1" customHeight="1" outlineLevel="2">
      <c r="B124" s="1"/>
      <c r="C124" s="12"/>
      <c r="D124" s="12"/>
      <c r="E124" s="56"/>
      <c r="F124" s="56"/>
      <c r="G124" s="56"/>
      <c r="H124" s="56"/>
      <c r="I124" s="56"/>
      <c r="J124" s="179"/>
      <c r="K124" s="180"/>
      <c r="L124" s="180"/>
      <c r="M124" s="180"/>
      <c r="N124" s="181"/>
      <c r="O124" s="120"/>
      <c r="P124" s="56"/>
      <c r="Q124" s="56"/>
      <c r="R124" s="122"/>
      <c r="Y124" s="40"/>
      <c r="Z124" s="2"/>
      <c r="AA124" s="2"/>
      <c r="AB124" s="2"/>
      <c r="AC124" s="2"/>
      <c r="AD124" s="2"/>
      <c r="AE124" s="2"/>
      <c r="AF124" s="2"/>
      <c r="AG124" s="2"/>
      <c r="AH124" s="2"/>
      <c r="AI124" s="3"/>
    </row>
    <row r="125" spans="2:35" ht="12.75" hidden="1" customHeight="1" outlineLevel="2">
      <c r="B125" s="4"/>
      <c r="J125" s="182"/>
      <c r="K125" s="66"/>
      <c r="L125" s="66"/>
      <c r="M125" s="66"/>
      <c r="N125" s="183"/>
      <c r="O125" s="131"/>
      <c r="P125" s="66"/>
      <c r="Q125" s="66"/>
      <c r="R125" s="117"/>
      <c r="S125" s="66"/>
      <c r="Y125" s="4"/>
      <c r="AI125" s="5"/>
    </row>
    <row r="126" spans="2:35" ht="12.75" hidden="1" customHeight="1" outlineLevel="2">
      <c r="B126" s="4"/>
      <c r="D126" s="6"/>
      <c r="E126" s="57"/>
      <c r="F126" s="57"/>
      <c r="G126" s="57"/>
      <c r="H126" s="57"/>
      <c r="J126" s="184"/>
      <c r="K126" s="132"/>
      <c r="L126" s="147"/>
      <c r="M126" s="147"/>
      <c r="N126" s="185"/>
      <c r="O126" s="131"/>
      <c r="P126" s="66"/>
      <c r="Q126" s="66"/>
      <c r="R126" s="117"/>
      <c r="S126" s="66"/>
      <c r="Y126" s="4"/>
      <c r="AI126" s="5"/>
    </row>
    <row r="127" spans="2:35" ht="12.75" hidden="1" customHeight="1" outlineLevel="2">
      <c r="B127" s="4"/>
      <c r="D127" s="6"/>
      <c r="E127" s="57"/>
      <c r="F127" s="57"/>
      <c r="G127" s="57"/>
      <c r="H127" s="57"/>
      <c r="J127" s="186"/>
      <c r="N127" s="187"/>
      <c r="O127" s="123"/>
      <c r="P127" s="132"/>
      <c r="Q127" s="132"/>
      <c r="R127" s="112"/>
      <c r="S127" s="132"/>
      <c r="Y127" s="4"/>
      <c r="AI127" s="5"/>
    </row>
    <row r="128" spans="2:35" ht="12.75" hidden="1" customHeight="1" outlineLevel="2">
      <c r="B128" s="4"/>
      <c r="D128" s="6"/>
      <c r="E128" s="57"/>
      <c r="F128" s="57"/>
      <c r="G128" s="57"/>
      <c r="H128" s="62"/>
      <c r="J128" s="110"/>
      <c r="O128" s="131"/>
      <c r="P128" s="66"/>
      <c r="Q128" s="66"/>
      <c r="R128" s="111"/>
      <c r="Y128" s="4"/>
      <c r="AI128" s="5"/>
    </row>
    <row r="129" spans="2:35" ht="12.75" hidden="1" customHeight="1" outlineLevel="2">
      <c r="B129" s="4"/>
      <c r="J129" s="110"/>
      <c r="O129" s="131"/>
      <c r="P129" s="144"/>
      <c r="Q129" s="66"/>
      <c r="R129" s="146"/>
      <c r="Y129" s="4"/>
      <c r="AI129" s="5"/>
    </row>
    <row r="130" spans="2:35" ht="12.75" hidden="1" customHeight="1" outlineLevel="2">
      <c r="B130" s="4"/>
      <c r="J130" s="188"/>
      <c r="K130" s="71"/>
      <c r="L130" s="133"/>
      <c r="M130" s="133"/>
      <c r="N130" s="72"/>
      <c r="O130" s="113"/>
      <c r="P130" s="133"/>
      <c r="Q130" s="133"/>
      <c r="R130" s="121"/>
      <c r="S130" s="133"/>
      <c r="T130" s="10"/>
      <c r="V130" s="14"/>
      <c r="Y130" s="41"/>
      <c r="Z130" s="14"/>
      <c r="AA130" s="14"/>
      <c r="AB130" s="14"/>
      <c r="AC130" s="14"/>
      <c r="AE130" s="31"/>
      <c r="AF130" s="10"/>
      <c r="AG130" s="10"/>
      <c r="AH130" s="10"/>
      <c r="AI130" s="42"/>
    </row>
    <row r="131" spans="2:35" ht="12.75" hidden="1" customHeight="1" outlineLevel="2">
      <c r="B131" s="4"/>
      <c r="J131" s="188"/>
      <c r="K131" s="71"/>
      <c r="L131" s="133"/>
      <c r="M131" s="133"/>
      <c r="N131" s="72"/>
      <c r="O131" s="113"/>
      <c r="P131" s="133"/>
      <c r="Q131" s="133"/>
      <c r="R131" s="121"/>
      <c r="S131" s="133"/>
      <c r="T131" s="10"/>
      <c r="V131" s="14"/>
      <c r="W131" s="18"/>
      <c r="Y131" s="41"/>
      <c r="Z131" s="14"/>
      <c r="AA131" s="14"/>
      <c r="AB131" s="14"/>
      <c r="AC131" s="14"/>
      <c r="AE131" s="31"/>
      <c r="AF131" s="10"/>
      <c r="AG131" s="10"/>
      <c r="AH131" s="10"/>
      <c r="AI131" s="42"/>
    </row>
    <row r="132" spans="2:35" ht="12.75" hidden="1" customHeight="1" outlineLevel="2">
      <c r="B132" s="4"/>
      <c r="D132" s="6"/>
      <c r="E132" s="57"/>
      <c r="G132" s="57"/>
      <c r="H132" s="62"/>
      <c r="J132" s="188"/>
      <c r="K132" s="71"/>
      <c r="L132" s="133"/>
      <c r="M132" s="133"/>
      <c r="N132" s="72"/>
      <c r="O132" s="113"/>
      <c r="P132" s="133"/>
      <c r="Q132" s="133"/>
      <c r="R132" s="121"/>
      <c r="S132" s="133"/>
      <c r="T132" s="10"/>
      <c r="V132" s="14"/>
      <c r="Y132" s="41"/>
      <c r="Z132" s="14"/>
      <c r="AA132" s="14"/>
      <c r="AB132" s="14"/>
      <c r="AC132" s="14"/>
      <c r="AE132" s="31"/>
      <c r="AF132" s="10"/>
      <c r="AG132" s="10"/>
      <c r="AH132" s="10"/>
      <c r="AI132" s="42"/>
    </row>
    <row r="133" spans="2:35" ht="12.75" hidden="1" customHeight="1" outlineLevel="2">
      <c r="B133" s="8"/>
      <c r="C133" s="9"/>
      <c r="D133" s="9"/>
      <c r="E133" s="59"/>
      <c r="F133" s="59"/>
      <c r="G133" s="59"/>
      <c r="H133" s="59"/>
      <c r="I133" s="59"/>
      <c r="J133" s="189"/>
      <c r="K133" s="134"/>
      <c r="L133" s="116"/>
      <c r="M133" s="116"/>
      <c r="N133" s="190"/>
      <c r="O133" s="145"/>
      <c r="P133" s="116"/>
      <c r="Q133" s="116"/>
      <c r="R133" s="114"/>
      <c r="S133" s="74"/>
      <c r="Y133" s="8"/>
      <c r="Z133" s="9"/>
      <c r="AA133" s="9"/>
      <c r="AB133" s="9"/>
      <c r="AC133" s="9"/>
      <c r="AD133" s="9"/>
      <c r="AE133" s="9"/>
      <c r="AF133" s="9"/>
      <c r="AG133" s="9"/>
      <c r="AH133" s="9"/>
      <c r="AI133" s="43"/>
    </row>
    <row r="134" spans="2:35" ht="12.75" hidden="1" customHeight="1" outlineLevel="2">
      <c r="J134" s="193"/>
      <c r="K134" s="194"/>
      <c r="L134" s="119"/>
      <c r="M134" s="119"/>
      <c r="N134" s="191"/>
      <c r="O134" s="128"/>
      <c r="P134" s="119"/>
      <c r="Q134" s="119"/>
      <c r="R134" s="129"/>
      <c r="S134" s="74"/>
    </row>
    <row r="135" spans="2:35" ht="13.5" hidden="1" customHeight="1" outlineLevel="2" thickBot="1">
      <c r="J135" s="192"/>
      <c r="K135" s="153"/>
      <c r="L135" s="153"/>
      <c r="M135" s="153"/>
      <c r="N135" s="154"/>
      <c r="O135" s="74"/>
      <c r="P135" s="74"/>
      <c r="Q135" s="74"/>
      <c r="R135" s="74"/>
      <c r="S135" s="74"/>
    </row>
    <row r="136" spans="2:35" ht="13.5" hidden="1" customHeight="1" outlineLevel="2" thickBot="1"/>
    <row r="137" spans="2:35" ht="12.75" hidden="1" customHeight="1" outlineLevel="2">
      <c r="B137" s="1"/>
      <c r="C137" s="12"/>
      <c r="D137" s="12"/>
      <c r="E137" s="56"/>
      <c r="F137" s="56"/>
      <c r="G137" s="56"/>
      <c r="H137" s="56"/>
      <c r="I137" s="56"/>
      <c r="J137" s="179"/>
      <c r="K137" s="180"/>
      <c r="L137" s="180"/>
      <c r="M137" s="180"/>
      <c r="N137" s="181"/>
      <c r="O137" s="120"/>
      <c r="P137" s="56"/>
      <c r="Q137" s="56"/>
      <c r="R137" s="122"/>
      <c r="Y137" s="40"/>
      <c r="Z137" s="2"/>
      <c r="AA137" s="2"/>
      <c r="AB137" s="2"/>
      <c r="AC137" s="2"/>
      <c r="AD137" s="2"/>
      <c r="AE137" s="2"/>
      <c r="AF137" s="2"/>
      <c r="AG137" s="2"/>
      <c r="AH137" s="2"/>
      <c r="AI137" s="3"/>
    </row>
    <row r="138" spans="2:35" ht="12.75" hidden="1" customHeight="1" outlineLevel="2">
      <c r="B138" s="4"/>
      <c r="J138" s="182"/>
      <c r="K138" s="66"/>
      <c r="L138" s="66"/>
      <c r="M138" s="66"/>
      <c r="N138" s="183"/>
      <c r="O138" s="131"/>
      <c r="P138" s="66"/>
      <c r="Q138" s="66"/>
      <c r="R138" s="117"/>
      <c r="S138" s="66"/>
      <c r="Y138" s="4"/>
      <c r="AI138" s="5"/>
    </row>
    <row r="139" spans="2:35" ht="12.75" hidden="1" customHeight="1" outlineLevel="2">
      <c r="B139" s="4"/>
      <c r="D139" s="6"/>
      <c r="E139" s="57"/>
      <c r="F139" s="57"/>
      <c r="G139" s="57"/>
      <c r="H139" s="57"/>
      <c r="J139" s="184"/>
      <c r="K139" s="132"/>
      <c r="L139" s="147"/>
      <c r="M139" s="147"/>
      <c r="N139" s="185"/>
      <c r="O139" s="123"/>
      <c r="P139" s="132"/>
      <c r="Q139" s="132"/>
      <c r="R139" s="112"/>
      <c r="S139" s="132"/>
      <c r="Y139" s="4"/>
      <c r="AI139" s="5"/>
    </row>
    <row r="140" spans="2:35" ht="12.75" hidden="1" customHeight="1" outlineLevel="2">
      <c r="B140" s="4"/>
      <c r="D140" s="6"/>
      <c r="E140" s="57"/>
      <c r="F140" s="57"/>
      <c r="G140" s="57"/>
      <c r="H140" s="57"/>
      <c r="J140" s="186"/>
      <c r="N140" s="187"/>
      <c r="O140" s="131"/>
      <c r="P140" s="66"/>
      <c r="Q140" s="66"/>
      <c r="R140" s="111"/>
      <c r="Y140" s="4"/>
      <c r="AI140" s="5"/>
    </row>
    <row r="141" spans="2:35" ht="12.75" hidden="1" customHeight="1" outlineLevel="2">
      <c r="B141" s="4"/>
      <c r="J141" s="110"/>
      <c r="O141" s="131"/>
      <c r="P141" s="144"/>
      <c r="Q141" s="66"/>
      <c r="R141" s="146"/>
      <c r="Y141" s="4"/>
      <c r="AI141" s="5"/>
    </row>
    <row r="142" spans="2:35" ht="12.75" hidden="1" customHeight="1" outlineLevel="2">
      <c r="B142" s="4"/>
      <c r="J142" s="188"/>
      <c r="K142" s="71"/>
      <c r="L142" s="133"/>
      <c r="M142" s="133"/>
      <c r="N142" s="72"/>
      <c r="O142" s="113"/>
      <c r="P142" s="133"/>
      <c r="Q142" s="133"/>
      <c r="R142" s="121"/>
      <c r="S142" s="133"/>
      <c r="T142" s="10"/>
      <c r="V142" s="14"/>
      <c r="Y142" s="41"/>
      <c r="Z142" s="14"/>
      <c r="AA142" s="14"/>
      <c r="AB142" s="14"/>
      <c r="AC142" s="14"/>
      <c r="AE142" s="31"/>
      <c r="AF142" s="10"/>
      <c r="AG142" s="10"/>
      <c r="AH142" s="10"/>
      <c r="AI142" s="42"/>
    </row>
    <row r="143" spans="2:35" ht="12.75" hidden="1" customHeight="1" outlineLevel="2">
      <c r="B143" s="4"/>
      <c r="J143" s="188"/>
      <c r="K143" s="71"/>
      <c r="L143" s="133"/>
      <c r="M143" s="133"/>
      <c r="N143" s="72"/>
      <c r="O143" s="113"/>
      <c r="P143" s="133"/>
      <c r="Q143" s="133"/>
      <c r="R143" s="121"/>
      <c r="S143" s="133"/>
      <c r="T143" s="10"/>
      <c r="V143" s="14"/>
      <c r="W143" s="18"/>
      <c r="Y143" s="41"/>
      <c r="Z143" s="14"/>
      <c r="AA143" s="14"/>
      <c r="AB143" s="14"/>
      <c r="AC143" s="14"/>
      <c r="AE143" s="31"/>
      <c r="AF143" s="10"/>
      <c r="AG143" s="10"/>
      <c r="AH143" s="10"/>
      <c r="AI143" s="42"/>
    </row>
    <row r="144" spans="2:35" ht="12.75" hidden="1" customHeight="1" outlineLevel="2">
      <c r="B144" s="4"/>
      <c r="D144" s="6"/>
      <c r="E144" s="57"/>
      <c r="G144" s="57"/>
      <c r="H144" s="57"/>
      <c r="J144" s="188"/>
      <c r="K144" s="71"/>
      <c r="L144" s="133"/>
      <c r="M144" s="133"/>
      <c r="N144" s="72"/>
      <c r="O144" s="113"/>
      <c r="P144" s="133"/>
      <c r="Q144" s="133"/>
      <c r="R144" s="121"/>
      <c r="S144" s="133"/>
      <c r="T144" s="10"/>
      <c r="V144" s="14"/>
      <c r="Y144" s="41"/>
      <c r="Z144" s="14"/>
      <c r="AA144" s="14"/>
      <c r="AB144" s="14"/>
      <c r="AC144" s="14"/>
      <c r="AE144" s="31"/>
      <c r="AF144" s="10"/>
      <c r="AG144" s="10"/>
      <c r="AH144" s="10"/>
      <c r="AI144" s="42"/>
    </row>
    <row r="145" spans="2:35" ht="12.75" hidden="1" customHeight="1" outlineLevel="2">
      <c r="B145" s="8"/>
      <c r="C145" s="9"/>
      <c r="D145" s="9"/>
      <c r="E145" s="59"/>
      <c r="F145" s="59"/>
      <c r="G145" s="59"/>
      <c r="H145" s="59"/>
      <c r="I145" s="59"/>
      <c r="J145" s="189"/>
      <c r="K145" s="134"/>
      <c r="L145" s="116"/>
      <c r="M145" s="116"/>
      <c r="N145" s="190"/>
      <c r="O145" s="145"/>
      <c r="P145" s="116"/>
      <c r="Q145" s="116"/>
      <c r="R145" s="114"/>
      <c r="S145" s="74"/>
      <c r="Y145" s="8"/>
      <c r="Z145" s="9"/>
      <c r="AA145" s="9"/>
      <c r="AB145" s="9"/>
      <c r="AC145" s="9"/>
      <c r="AD145" s="9"/>
      <c r="AE145" s="9"/>
      <c r="AF145" s="9"/>
      <c r="AG145" s="9"/>
      <c r="AH145" s="9"/>
      <c r="AI145" s="43"/>
    </row>
    <row r="146" spans="2:35" ht="12.75" hidden="1" customHeight="1" outlineLevel="2">
      <c r="J146" s="193"/>
      <c r="K146" s="194"/>
      <c r="L146" s="119"/>
      <c r="M146" s="119"/>
      <c r="N146" s="191"/>
      <c r="O146" s="128"/>
      <c r="P146" s="119"/>
      <c r="Q146" s="119"/>
      <c r="R146" s="129"/>
      <c r="S146" s="74"/>
    </row>
    <row r="147" spans="2:35" ht="13.5" hidden="1" customHeight="1" outlineLevel="2" thickBot="1">
      <c r="J147" s="192"/>
      <c r="K147" s="153"/>
      <c r="L147" s="153"/>
      <c r="M147" s="153"/>
      <c r="N147" s="154"/>
      <c r="O147" s="74"/>
      <c r="P147" s="74"/>
      <c r="Q147" s="74"/>
      <c r="R147" s="74"/>
      <c r="S147" s="74"/>
    </row>
    <row r="148" spans="2:35" ht="13.5" hidden="1" customHeight="1" outlineLevel="2" thickBot="1"/>
    <row r="149" spans="2:35" ht="12.75" hidden="1" customHeight="1" outlineLevel="2">
      <c r="B149" s="1"/>
      <c r="C149" s="12"/>
      <c r="D149" s="12"/>
      <c r="E149" s="56"/>
      <c r="F149" s="56"/>
      <c r="G149" s="56"/>
      <c r="H149" s="56"/>
      <c r="I149" s="56"/>
      <c r="J149" s="179"/>
      <c r="K149" s="180"/>
      <c r="L149" s="180"/>
      <c r="M149" s="180"/>
      <c r="N149" s="181"/>
      <c r="O149" s="120"/>
      <c r="P149" s="56"/>
      <c r="Q149" s="56"/>
      <c r="R149" s="122"/>
      <c r="Y149" s="40"/>
      <c r="Z149" s="2"/>
      <c r="AA149" s="2"/>
      <c r="AB149" s="2"/>
      <c r="AC149" s="2"/>
      <c r="AD149" s="2"/>
      <c r="AE149" s="2"/>
      <c r="AF149" s="2"/>
      <c r="AG149" s="2"/>
      <c r="AH149" s="2"/>
      <c r="AI149" s="3"/>
    </row>
    <row r="150" spans="2:35" ht="12.75" hidden="1" customHeight="1" outlineLevel="2">
      <c r="B150" s="4"/>
      <c r="J150" s="182"/>
      <c r="K150" s="66"/>
      <c r="L150" s="66"/>
      <c r="M150" s="66"/>
      <c r="N150" s="183"/>
      <c r="O150" s="131"/>
      <c r="P150" s="66"/>
      <c r="Q150" s="66"/>
      <c r="R150" s="117"/>
      <c r="S150" s="66"/>
      <c r="Y150" s="4"/>
      <c r="AI150" s="5"/>
    </row>
    <row r="151" spans="2:35" ht="12.75" hidden="1" customHeight="1" outlineLevel="2">
      <c r="B151" s="4"/>
      <c r="D151" s="6"/>
      <c r="E151" s="57"/>
      <c r="F151" s="57"/>
      <c r="G151" s="57"/>
      <c r="H151" s="57"/>
      <c r="J151" s="184"/>
      <c r="K151" s="132"/>
      <c r="L151" s="147"/>
      <c r="M151" s="147"/>
      <c r="N151" s="185"/>
      <c r="O151" s="123"/>
      <c r="P151" s="132"/>
      <c r="Q151" s="132"/>
      <c r="R151" s="112"/>
      <c r="S151" s="132"/>
      <c r="Y151" s="4"/>
      <c r="AI151" s="5"/>
    </row>
    <row r="152" spans="2:35" ht="12.75" hidden="1" customHeight="1" outlineLevel="2">
      <c r="B152" s="4"/>
      <c r="D152" s="6"/>
      <c r="E152" s="57"/>
      <c r="G152" s="57"/>
      <c r="H152" s="57"/>
      <c r="J152" s="186"/>
      <c r="N152" s="187"/>
      <c r="O152" s="131"/>
      <c r="P152" s="66"/>
      <c r="Q152" s="66"/>
      <c r="R152" s="111"/>
      <c r="Y152" s="4"/>
      <c r="AI152" s="5"/>
    </row>
    <row r="153" spans="2:35" ht="12.75" hidden="1" customHeight="1" outlineLevel="2">
      <c r="B153" s="4"/>
      <c r="J153" s="110"/>
      <c r="O153" s="131"/>
      <c r="P153" s="144"/>
      <c r="Q153" s="66"/>
      <c r="R153" s="146"/>
      <c r="Y153" s="4"/>
      <c r="AI153" s="5"/>
    </row>
    <row r="154" spans="2:35" ht="12.75" hidden="1" customHeight="1" outlineLevel="2">
      <c r="B154" s="4"/>
      <c r="J154" s="188"/>
      <c r="K154" s="71"/>
      <c r="L154" s="133"/>
      <c r="M154" s="133"/>
      <c r="N154" s="72"/>
      <c r="O154" s="113"/>
      <c r="P154" s="133"/>
      <c r="Q154" s="133"/>
      <c r="R154" s="121"/>
      <c r="S154" s="133"/>
      <c r="T154" s="10"/>
      <c r="V154" s="14"/>
      <c r="Y154" s="41"/>
      <c r="Z154" s="14"/>
      <c r="AA154" s="14"/>
      <c r="AB154" s="14"/>
      <c r="AC154" s="14"/>
      <c r="AE154" s="31"/>
      <c r="AF154" s="10"/>
      <c r="AG154" s="10"/>
      <c r="AH154" s="10"/>
      <c r="AI154" s="42"/>
    </row>
    <row r="155" spans="2:35" ht="12.75" hidden="1" customHeight="1" outlineLevel="2">
      <c r="B155" s="4"/>
      <c r="J155" s="188"/>
      <c r="K155" s="71"/>
      <c r="L155" s="133"/>
      <c r="M155" s="133"/>
      <c r="N155" s="72"/>
      <c r="O155" s="113"/>
      <c r="P155" s="133"/>
      <c r="Q155" s="133"/>
      <c r="R155" s="121"/>
      <c r="S155" s="133"/>
      <c r="T155" s="10"/>
      <c r="V155" s="14"/>
      <c r="W155" s="18"/>
      <c r="Y155" s="41"/>
      <c r="Z155" s="14"/>
      <c r="AA155" s="14"/>
      <c r="AB155" s="14"/>
      <c r="AC155" s="14"/>
      <c r="AE155" s="31"/>
      <c r="AF155" s="10"/>
      <c r="AG155" s="10"/>
      <c r="AH155" s="10"/>
      <c r="AI155" s="42"/>
    </row>
    <row r="156" spans="2:35" ht="12.75" hidden="1" customHeight="1" outlineLevel="2">
      <c r="B156" s="4"/>
      <c r="D156" s="6"/>
      <c r="E156" s="57"/>
      <c r="G156" s="57"/>
      <c r="H156" s="57"/>
      <c r="J156" s="188"/>
      <c r="K156" s="71"/>
      <c r="L156" s="133"/>
      <c r="M156" s="133"/>
      <c r="N156" s="72"/>
      <c r="O156" s="113"/>
      <c r="P156" s="133"/>
      <c r="Q156" s="133"/>
      <c r="R156" s="121"/>
      <c r="S156" s="133"/>
      <c r="T156" s="10"/>
      <c r="V156" s="14"/>
      <c r="Y156" s="41"/>
      <c r="Z156" s="14"/>
      <c r="AA156" s="14"/>
      <c r="AB156" s="14"/>
      <c r="AC156" s="14"/>
      <c r="AE156" s="31"/>
      <c r="AF156" s="10"/>
      <c r="AG156" s="10"/>
      <c r="AH156" s="10"/>
      <c r="AI156" s="42"/>
    </row>
    <row r="157" spans="2:35" ht="12.75" hidden="1" customHeight="1" outlineLevel="2">
      <c r="B157" s="8"/>
      <c r="C157" s="9"/>
      <c r="D157" s="9"/>
      <c r="E157" s="59"/>
      <c r="F157" s="59"/>
      <c r="G157" s="59"/>
      <c r="H157" s="59"/>
      <c r="I157" s="59"/>
      <c r="J157" s="189"/>
      <c r="K157" s="134"/>
      <c r="L157" s="116"/>
      <c r="M157" s="116"/>
      <c r="N157" s="190"/>
      <c r="O157" s="145"/>
      <c r="P157" s="116"/>
      <c r="Q157" s="116"/>
      <c r="R157" s="114"/>
      <c r="S157" s="74"/>
      <c r="Y157" s="8"/>
      <c r="Z157" s="9"/>
      <c r="AA157" s="9"/>
      <c r="AB157" s="9"/>
      <c r="AC157" s="9"/>
      <c r="AD157" s="9"/>
      <c r="AE157" s="9"/>
      <c r="AF157" s="9"/>
      <c r="AG157" s="9"/>
      <c r="AH157" s="9"/>
      <c r="AI157" s="43"/>
    </row>
    <row r="158" spans="2:35" ht="12.75" hidden="1" customHeight="1" outlineLevel="2">
      <c r="J158" s="193"/>
      <c r="K158" s="194"/>
      <c r="L158" s="119"/>
      <c r="M158" s="119"/>
      <c r="N158" s="191"/>
      <c r="O158" s="128"/>
      <c r="P158" s="119"/>
      <c r="Q158" s="119"/>
      <c r="R158" s="129"/>
      <c r="S158" s="74"/>
    </row>
    <row r="159" spans="2:35" ht="13.5" hidden="1" customHeight="1" outlineLevel="2" thickBot="1">
      <c r="J159" s="192"/>
      <c r="K159" s="153"/>
      <c r="L159" s="153"/>
      <c r="M159" s="153"/>
      <c r="N159" s="154"/>
      <c r="O159" s="74"/>
      <c r="P159" s="74"/>
      <c r="Q159" s="74"/>
      <c r="R159" s="74"/>
      <c r="S159" s="74"/>
    </row>
    <row r="160" spans="2:35" ht="13.5" hidden="1" customHeight="1" outlineLevel="2" thickBot="1"/>
    <row r="161" spans="2:35" ht="12.75" hidden="1" customHeight="1" outlineLevel="2">
      <c r="B161" s="1"/>
      <c r="C161" s="12"/>
      <c r="D161" s="12"/>
      <c r="E161" s="56"/>
      <c r="F161" s="56"/>
      <c r="G161" s="56"/>
      <c r="H161" s="56"/>
      <c r="I161" s="56"/>
      <c r="J161" s="179"/>
      <c r="K161" s="180"/>
      <c r="L161" s="180"/>
      <c r="M161" s="180"/>
      <c r="N161" s="181"/>
      <c r="O161" s="120"/>
      <c r="P161" s="56"/>
      <c r="Q161" s="56"/>
      <c r="R161" s="122"/>
      <c r="Y161" s="40"/>
      <c r="Z161" s="2"/>
      <c r="AA161" s="2"/>
      <c r="AB161" s="2"/>
      <c r="AC161" s="2"/>
      <c r="AD161" s="2"/>
      <c r="AE161" s="2"/>
      <c r="AF161" s="2"/>
      <c r="AG161" s="2"/>
      <c r="AH161" s="2"/>
      <c r="AI161" s="3"/>
    </row>
    <row r="162" spans="2:35" ht="12.75" hidden="1" customHeight="1" outlineLevel="2">
      <c r="B162" s="4"/>
      <c r="J162" s="182"/>
      <c r="K162" s="66"/>
      <c r="L162" s="66"/>
      <c r="M162" s="66"/>
      <c r="N162" s="183"/>
      <c r="O162" s="131"/>
      <c r="P162" s="66"/>
      <c r="Q162" s="66"/>
      <c r="R162" s="117"/>
      <c r="S162" s="66"/>
      <c r="Y162" s="4"/>
      <c r="AI162" s="5"/>
    </row>
    <row r="163" spans="2:35" ht="12.75" hidden="1" customHeight="1" outlineLevel="2">
      <c r="B163" s="4"/>
      <c r="D163" s="6"/>
      <c r="E163" s="57"/>
      <c r="F163" s="57"/>
      <c r="G163" s="57"/>
      <c r="H163" s="57"/>
      <c r="J163" s="184"/>
      <c r="K163" s="132"/>
      <c r="L163" s="147"/>
      <c r="M163" s="147"/>
      <c r="N163" s="185"/>
      <c r="O163" s="123"/>
      <c r="P163" s="132"/>
      <c r="Q163" s="132"/>
      <c r="R163" s="112"/>
      <c r="S163" s="132"/>
      <c r="Y163" s="4"/>
      <c r="AI163" s="5"/>
    </row>
    <row r="164" spans="2:35" ht="12.75" hidden="1" customHeight="1" outlineLevel="2">
      <c r="B164" s="4"/>
      <c r="D164" s="6"/>
      <c r="E164" s="57"/>
      <c r="F164" s="57"/>
      <c r="G164" s="57"/>
      <c r="H164" s="57"/>
      <c r="J164" s="186"/>
      <c r="N164" s="187"/>
      <c r="O164" s="131"/>
      <c r="P164" s="66"/>
      <c r="Q164" s="66"/>
      <c r="R164" s="111"/>
      <c r="Y164" s="4"/>
      <c r="AI164" s="5"/>
    </row>
    <row r="165" spans="2:35" ht="12.75" hidden="1" customHeight="1" outlineLevel="2">
      <c r="B165" s="4"/>
      <c r="J165" s="110"/>
      <c r="O165" s="131"/>
      <c r="P165" s="144"/>
      <c r="Q165" s="66"/>
      <c r="R165" s="146"/>
      <c r="Y165" s="4"/>
      <c r="AI165" s="5"/>
    </row>
    <row r="166" spans="2:35" ht="12.75" hidden="1" customHeight="1" outlineLevel="2">
      <c r="B166" s="4"/>
      <c r="J166" s="188"/>
      <c r="K166" s="71"/>
      <c r="L166" s="133"/>
      <c r="M166" s="133"/>
      <c r="N166" s="72"/>
      <c r="O166" s="113"/>
      <c r="P166" s="133"/>
      <c r="Q166" s="133"/>
      <c r="R166" s="121"/>
      <c r="S166" s="133"/>
      <c r="T166" s="10"/>
      <c r="V166" s="14"/>
      <c r="Y166" s="41"/>
      <c r="Z166" s="14"/>
      <c r="AA166" s="14"/>
      <c r="AB166" s="14"/>
      <c r="AC166" s="14"/>
      <c r="AE166" s="31"/>
      <c r="AF166" s="10"/>
      <c r="AG166" s="10"/>
      <c r="AH166" s="10"/>
      <c r="AI166" s="42"/>
    </row>
    <row r="167" spans="2:35" ht="12.75" hidden="1" customHeight="1" outlineLevel="2">
      <c r="B167" s="4"/>
      <c r="J167" s="188"/>
      <c r="K167" s="71"/>
      <c r="L167" s="133"/>
      <c r="M167" s="133"/>
      <c r="N167" s="72"/>
      <c r="O167" s="113"/>
      <c r="P167" s="133"/>
      <c r="Q167" s="133"/>
      <c r="R167" s="121"/>
      <c r="S167" s="133"/>
      <c r="T167" s="10"/>
      <c r="V167" s="14"/>
      <c r="W167" s="18"/>
      <c r="Y167" s="41"/>
      <c r="Z167" s="14"/>
      <c r="AA167" s="14"/>
      <c r="AB167" s="14"/>
      <c r="AC167" s="14"/>
      <c r="AE167" s="31"/>
      <c r="AF167" s="10"/>
      <c r="AG167" s="10"/>
      <c r="AH167" s="10"/>
      <c r="AI167" s="42"/>
    </row>
    <row r="168" spans="2:35" ht="12.75" hidden="1" customHeight="1" outlineLevel="2">
      <c r="B168" s="4"/>
      <c r="D168" s="6"/>
      <c r="E168" s="57"/>
      <c r="G168" s="57"/>
      <c r="H168" s="57"/>
      <c r="J168" s="188"/>
      <c r="K168" s="71"/>
      <c r="L168" s="133"/>
      <c r="M168" s="133"/>
      <c r="N168" s="72"/>
      <c r="O168" s="113"/>
      <c r="P168" s="133"/>
      <c r="Q168" s="133"/>
      <c r="R168" s="121"/>
      <c r="S168" s="133"/>
      <c r="T168" s="10"/>
      <c r="V168" s="14"/>
      <c r="Y168" s="41"/>
      <c r="Z168" s="14"/>
      <c r="AA168" s="14"/>
      <c r="AB168" s="14"/>
      <c r="AC168" s="14"/>
      <c r="AE168" s="31"/>
      <c r="AF168" s="10"/>
      <c r="AG168" s="10"/>
      <c r="AH168" s="10"/>
      <c r="AI168" s="42"/>
    </row>
    <row r="169" spans="2:35" ht="12.75" hidden="1" customHeight="1" outlineLevel="2">
      <c r="B169" s="8"/>
      <c r="C169" s="9"/>
      <c r="D169" s="9"/>
      <c r="E169" s="59"/>
      <c r="F169" s="59"/>
      <c r="G169" s="59"/>
      <c r="H169" s="59"/>
      <c r="I169" s="59"/>
      <c r="J169" s="189"/>
      <c r="K169" s="134"/>
      <c r="L169" s="116"/>
      <c r="M169" s="116"/>
      <c r="N169" s="190"/>
      <c r="O169" s="145"/>
      <c r="P169" s="116"/>
      <c r="Q169" s="116"/>
      <c r="R169" s="114"/>
      <c r="S169" s="74"/>
      <c r="Y169" s="8"/>
      <c r="Z169" s="9"/>
      <c r="AA169" s="9"/>
      <c r="AB169" s="9"/>
      <c r="AC169" s="9"/>
      <c r="AD169" s="9"/>
      <c r="AE169" s="9"/>
      <c r="AF169" s="9"/>
      <c r="AG169" s="9"/>
      <c r="AH169" s="9"/>
      <c r="AI169" s="43"/>
    </row>
    <row r="170" spans="2:35" ht="12.75" hidden="1" customHeight="1" outlineLevel="2">
      <c r="J170" s="193"/>
      <c r="K170" s="194"/>
      <c r="L170" s="119"/>
      <c r="M170" s="119"/>
      <c r="N170" s="191"/>
      <c r="O170" s="128"/>
      <c r="P170" s="119"/>
      <c r="Q170" s="119"/>
      <c r="R170" s="129"/>
      <c r="S170" s="74"/>
    </row>
    <row r="171" spans="2:35" ht="13.5" hidden="1" customHeight="1" outlineLevel="2" thickBot="1">
      <c r="J171" s="192"/>
      <c r="K171" s="153"/>
      <c r="L171" s="153"/>
      <c r="M171" s="153"/>
      <c r="N171" s="154"/>
      <c r="O171" s="74"/>
      <c r="P171" s="74"/>
      <c r="Q171" s="74"/>
      <c r="R171" s="74"/>
      <c r="S171" s="74"/>
    </row>
    <row r="172" spans="2:35" ht="13.5" hidden="1" customHeight="1" outlineLevel="2" thickBot="1"/>
    <row r="173" spans="2:35" ht="12.75" hidden="1" customHeight="1" outlineLevel="2">
      <c r="B173" s="1"/>
      <c r="C173" s="12"/>
      <c r="D173" s="12"/>
      <c r="E173" s="56"/>
      <c r="F173" s="56"/>
      <c r="G173" s="56"/>
      <c r="H173" s="56"/>
      <c r="I173" s="56"/>
      <c r="J173" s="179"/>
      <c r="K173" s="180"/>
      <c r="L173" s="180"/>
      <c r="M173" s="180"/>
      <c r="N173" s="181"/>
      <c r="O173" s="120"/>
      <c r="P173" s="56"/>
      <c r="Q173" s="56"/>
      <c r="R173" s="122"/>
      <c r="Y173" s="40"/>
      <c r="Z173" s="2"/>
      <c r="AA173" s="2"/>
      <c r="AB173" s="2"/>
      <c r="AC173" s="2"/>
      <c r="AD173" s="2"/>
      <c r="AE173" s="2"/>
      <c r="AF173" s="2"/>
      <c r="AG173" s="2"/>
      <c r="AH173" s="2"/>
      <c r="AI173" s="3"/>
    </row>
    <row r="174" spans="2:35" ht="12.75" hidden="1" customHeight="1" outlineLevel="2">
      <c r="B174" s="4"/>
      <c r="J174" s="182"/>
      <c r="K174" s="66"/>
      <c r="L174" s="66"/>
      <c r="M174" s="66"/>
      <c r="N174" s="183"/>
      <c r="O174" s="131"/>
      <c r="P174" s="66"/>
      <c r="Q174" s="66"/>
      <c r="R174" s="117"/>
      <c r="S174" s="66"/>
      <c r="Y174" s="4"/>
      <c r="AI174" s="5"/>
    </row>
    <row r="175" spans="2:35" ht="12.75" hidden="1" customHeight="1" outlineLevel="2">
      <c r="B175" s="4"/>
      <c r="D175" s="6"/>
      <c r="E175" s="57"/>
      <c r="F175" s="57"/>
      <c r="G175" s="57"/>
      <c r="H175" s="57"/>
      <c r="J175" s="184"/>
      <c r="K175" s="132"/>
      <c r="L175" s="147"/>
      <c r="M175" s="147"/>
      <c r="N175" s="185"/>
      <c r="O175" s="123"/>
      <c r="P175" s="132"/>
      <c r="Q175" s="132"/>
      <c r="R175" s="112"/>
      <c r="S175" s="132"/>
      <c r="Y175" s="4"/>
      <c r="AI175" s="5"/>
    </row>
    <row r="176" spans="2:35" ht="12.75" hidden="1" customHeight="1" outlineLevel="2">
      <c r="B176" s="4"/>
      <c r="D176" s="6"/>
      <c r="E176" s="57"/>
      <c r="F176" s="57"/>
      <c r="G176" s="57"/>
      <c r="H176" s="57"/>
      <c r="J176" s="186"/>
      <c r="N176" s="187"/>
      <c r="O176" s="131"/>
      <c r="P176" s="66"/>
      <c r="Q176" s="66"/>
      <c r="R176" s="111"/>
      <c r="Y176" s="4"/>
      <c r="AI176" s="5"/>
    </row>
    <row r="177" spans="2:35" ht="12.75" hidden="1" customHeight="1" outlineLevel="2">
      <c r="B177" s="4"/>
      <c r="J177" s="110"/>
      <c r="O177" s="131"/>
      <c r="P177" s="144"/>
      <c r="Q177" s="66"/>
      <c r="R177" s="146"/>
      <c r="Y177" s="4"/>
      <c r="AI177" s="5"/>
    </row>
    <row r="178" spans="2:35" ht="12.75" hidden="1" customHeight="1" outlineLevel="2">
      <c r="B178" s="4"/>
      <c r="J178" s="188"/>
      <c r="K178" s="71"/>
      <c r="L178" s="133"/>
      <c r="M178" s="133"/>
      <c r="N178" s="72"/>
      <c r="O178" s="113"/>
      <c r="P178" s="133"/>
      <c r="Q178" s="133"/>
      <c r="R178" s="121"/>
      <c r="S178" s="133"/>
      <c r="T178" s="10"/>
      <c r="V178" s="14"/>
      <c r="Y178" s="41"/>
      <c r="Z178" s="14"/>
      <c r="AA178" s="14"/>
      <c r="AB178" s="14"/>
      <c r="AC178" s="14"/>
      <c r="AE178" s="31"/>
      <c r="AF178" s="10"/>
      <c r="AG178" s="10"/>
      <c r="AH178" s="10"/>
      <c r="AI178" s="42"/>
    </row>
    <row r="179" spans="2:35" ht="12.75" hidden="1" customHeight="1" outlineLevel="2">
      <c r="B179" s="4"/>
      <c r="J179" s="188"/>
      <c r="K179" s="71"/>
      <c r="L179" s="133"/>
      <c r="M179" s="133"/>
      <c r="N179" s="72"/>
      <c r="O179" s="113"/>
      <c r="P179" s="133"/>
      <c r="Q179" s="133"/>
      <c r="R179" s="121"/>
      <c r="S179" s="133"/>
      <c r="T179" s="10"/>
      <c r="V179" s="14"/>
      <c r="W179" s="18"/>
      <c r="Y179" s="41"/>
      <c r="Z179" s="14"/>
      <c r="AA179" s="14"/>
      <c r="AB179" s="14"/>
      <c r="AC179" s="14"/>
      <c r="AE179" s="31"/>
      <c r="AF179" s="10"/>
      <c r="AG179" s="10"/>
      <c r="AH179" s="10"/>
      <c r="AI179" s="42"/>
    </row>
    <row r="180" spans="2:35" ht="12.75" hidden="1" customHeight="1" outlineLevel="2">
      <c r="B180" s="4"/>
      <c r="D180" s="6"/>
      <c r="E180" s="57"/>
      <c r="G180" s="57"/>
      <c r="H180" s="57"/>
      <c r="J180" s="188"/>
      <c r="K180" s="71"/>
      <c r="L180" s="133"/>
      <c r="M180" s="133"/>
      <c r="N180" s="72"/>
      <c r="O180" s="113"/>
      <c r="P180" s="133"/>
      <c r="Q180" s="133"/>
      <c r="R180" s="121"/>
      <c r="S180" s="133"/>
      <c r="T180" s="10"/>
      <c r="V180" s="14"/>
      <c r="Y180" s="41"/>
      <c r="Z180" s="14"/>
      <c r="AA180" s="14"/>
      <c r="AB180" s="14"/>
      <c r="AC180" s="14"/>
      <c r="AE180" s="31"/>
      <c r="AF180" s="10"/>
      <c r="AG180" s="10"/>
      <c r="AH180" s="10"/>
      <c r="AI180" s="42"/>
    </row>
    <row r="181" spans="2:35" ht="12.75" hidden="1" customHeight="1" outlineLevel="2">
      <c r="B181" s="8"/>
      <c r="C181" s="9"/>
      <c r="D181" s="9"/>
      <c r="E181" s="59"/>
      <c r="F181" s="59"/>
      <c r="G181" s="59"/>
      <c r="H181" s="59"/>
      <c r="I181" s="59"/>
      <c r="J181" s="189"/>
      <c r="K181" s="134"/>
      <c r="L181" s="116"/>
      <c r="M181" s="116"/>
      <c r="N181" s="190"/>
      <c r="O181" s="145"/>
      <c r="P181" s="116"/>
      <c r="Q181" s="116"/>
      <c r="R181" s="114"/>
      <c r="S181" s="74"/>
      <c r="Y181" s="8"/>
      <c r="Z181" s="9"/>
      <c r="AA181" s="9"/>
      <c r="AB181" s="9"/>
      <c r="AC181" s="9"/>
      <c r="AD181" s="9"/>
      <c r="AE181" s="9"/>
      <c r="AF181" s="9"/>
      <c r="AG181" s="9"/>
      <c r="AH181" s="9"/>
      <c r="AI181" s="43"/>
    </row>
    <row r="182" spans="2:35" ht="12.75" hidden="1" customHeight="1" outlineLevel="2">
      <c r="J182" s="193"/>
      <c r="K182" s="194"/>
      <c r="L182" s="119"/>
      <c r="M182" s="119"/>
      <c r="N182" s="191"/>
      <c r="O182" s="128"/>
      <c r="P182" s="119"/>
      <c r="Q182" s="119"/>
      <c r="R182" s="129"/>
      <c r="S182" s="74"/>
    </row>
    <row r="183" spans="2:35" ht="13.5" hidden="1" customHeight="1" outlineLevel="2" thickBot="1">
      <c r="J183" s="192"/>
      <c r="K183" s="153"/>
      <c r="L183" s="153"/>
      <c r="M183" s="153"/>
      <c r="N183" s="154"/>
      <c r="O183" s="74"/>
      <c r="P183" s="74"/>
      <c r="Q183" s="74"/>
      <c r="R183" s="74"/>
      <c r="S183" s="74"/>
    </row>
    <row r="184" spans="2:35" ht="13.5" hidden="1" customHeight="1" outlineLevel="2" thickBot="1"/>
    <row r="185" spans="2:35" ht="12.75" hidden="1" customHeight="1" outlineLevel="2">
      <c r="B185" s="1"/>
      <c r="C185" s="12"/>
      <c r="D185" s="12"/>
      <c r="E185" s="56"/>
      <c r="F185" s="56"/>
      <c r="G185" s="56"/>
      <c r="H185" s="56"/>
      <c r="I185" s="56"/>
      <c r="J185" s="179"/>
      <c r="K185" s="180"/>
      <c r="L185" s="180"/>
      <c r="M185" s="180"/>
      <c r="N185" s="181"/>
      <c r="O185" s="120"/>
      <c r="P185" s="56"/>
      <c r="Q185" s="56"/>
      <c r="R185" s="122"/>
      <c r="Y185" s="40"/>
      <c r="Z185" s="2"/>
      <c r="AA185" s="2"/>
      <c r="AB185" s="2"/>
      <c r="AC185" s="2"/>
      <c r="AD185" s="2"/>
      <c r="AE185" s="2"/>
      <c r="AF185" s="2"/>
      <c r="AG185" s="2"/>
      <c r="AH185" s="2"/>
      <c r="AI185" s="3"/>
    </row>
    <row r="186" spans="2:35" ht="12.75" hidden="1" customHeight="1" outlineLevel="2">
      <c r="B186" s="4"/>
      <c r="J186" s="182"/>
      <c r="K186" s="66"/>
      <c r="L186" s="66"/>
      <c r="M186" s="66"/>
      <c r="N186" s="183"/>
      <c r="O186" s="131"/>
      <c r="P186" s="66"/>
      <c r="Q186" s="66"/>
      <c r="R186" s="117"/>
      <c r="S186" s="66"/>
      <c r="Y186" s="4"/>
      <c r="AI186" s="5"/>
    </row>
    <row r="187" spans="2:35" ht="12.75" hidden="1" customHeight="1" outlineLevel="2">
      <c r="B187" s="4"/>
      <c r="D187" s="6"/>
      <c r="E187" s="57"/>
      <c r="F187" s="57"/>
      <c r="G187" s="57"/>
      <c r="H187" s="57"/>
      <c r="J187" s="184"/>
      <c r="K187" s="132"/>
      <c r="L187" s="147"/>
      <c r="M187" s="147"/>
      <c r="N187" s="185"/>
      <c r="O187" s="123"/>
      <c r="P187" s="132"/>
      <c r="Q187" s="132"/>
      <c r="R187" s="112"/>
      <c r="S187" s="132"/>
      <c r="Y187" s="4"/>
      <c r="AI187" s="5"/>
    </row>
    <row r="188" spans="2:35" ht="12.75" hidden="1" customHeight="1" outlineLevel="2">
      <c r="B188" s="4"/>
      <c r="D188" s="6"/>
      <c r="E188" s="57"/>
      <c r="F188" s="57"/>
      <c r="G188" s="57"/>
      <c r="H188" s="57"/>
      <c r="J188" s="186"/>
      <c r="N188" s="187"/>
      <c r="O188" s="131"/>
      <c r="P188" s="66"/>
      <c r="Q188" s="66"/>
      <c r="R188" s="111"/>
      <c r="Y188" s="4"/>
      <c r="AI188" s="5"/>
    </row>
    <row r="189" spans="2:35" ht="12.75" hidden="1" customHeight="1" outlineLevel="2">
      <c r="B189" s="4"/>
      <c r="J189" s="110"/>
      <c r="O189" s="131"/>
      <c r="P189" s="144"/>
      <c r="Q189" s="66"/>
      <c r="R189" s="146"/>
      <c r="Y189" s="4"/>
      <c r="AI189" s="5"/>
    </row>
    <row r="190" spans="2:35" ht="12.75" hidden="1" customHeight="1" outlineLevel="2">
      <c r="B190" s="4"/>
      <c r="J190" s="188"/>
      <c r="K190" s="71"/>
      <c r="L190" s="133"/>
      <c r="M190" s="133"/>
      <c r="N190" s="72"/>
      <c r="O190" s="113"/>
      <c r="P190" s="133"/>
      <c r="Q190" s="133"/>
      <c r="R190" s="121"/>
      <c r="S190" s="133"/>
      <c r="T190" s="10"/>
      <c r="V190" s="14"/>
      <c r="Y190" s="41"/>
      <c r="Z190" s="14"/>
      <c r="AA190" s="14"/>
      <c r="AB190" s="14"/>
      <c r="AC190" s="14"/>
      <c r="AE190" s="31"/>
      <c r="AF190" s="10"/>
      <c r="AG190" s="10"/>
      <c r="AH190" s="10"/>
      <c r="AI190" s="42"/>
    </row>
    <row r="191" spans="2:35" ht="12.75" hidden="1" customHeight="1" outlineLevel="2">
      <c r="B191" s="4"/>
      <c r="J191" s="188"/>
      <c r="K191" s="71"/>
      <c r="L191" s="133"/>
      <c r="M191" s="133"/>
      <c r="N191" s="72"/>
      <c r="O191" s="113"/>
      <c r="P191" s="133"/>
      <c r="Q191" s="133"/>
      <c r="R191" s="121"/>
      <c r="S191" s="133"/>
      <c r="T191" s="10"/>
      <c r="V191" s="14"/>
      <c r="W191" s="18"/>
      <c r="Y191" s="41"/>
      <c r="Z191" s="14"/>
      <c r="AA191" s="14"/>
      <c r="AB191" s="14"/>
      <c r="AC191" s="14"/>
      <c r="AE191" s="31"/>
      <c r="AF191" s="10"/>
      <c r="AG191" s="10"/>
      <c r="AH191" s="10"/>
      <c r="AI191" s="42"/>
    </row>
    <row r="192" spans="2:35" ht="12.75" hidden="1" customHeight="1" outlineLevel="2">
      <c r="B192" s="4"/>
      <c r="D192" s="6"/>
      <c r="E192" s="57"/>
      <c r="G192" s="57"/>
      <c r="H192" s="57"/>
      <c r="J192" s="188"/>
      <c r="K192" s="71"/>
      <c r="L192" s="133"/>
      <c r="M192" s="133"/>
      <c r="N192" s="72"/>
      <c r="O192" s="113"/>
      <c r="P192" s="133"/>
      <c r="Q192" s="133"/>
      <c r="R192" s="121"/>
      <c r="S192" s="133"/>
      <c r="T192" s="10"/>
      <c r="V192" s="14"/>
      <c r="Y192" s="41"/>
      <c r="Z192" s="14"/>
      <c r="AA192" s="14"/>
      <c r="AB192" s="14"/>
      <c r="AC192" s="14"/>
      <c r="AE192" s="31"/>
      <c r="AF192" s="10"/>
      <c r="AG192" s="10"/>
      <c r="AH192" s="10"/>
      <c r="AI192" s="42"/>
    </row>
    <row r="193" spans="2:35" ht="12.75" hidden="1" customHeight="1" outlineLevel="2">
      <c r="B193" s="8"/>
      <c r="C193" s="9"/>
      <c r="D193" s="9"/>
      <c r="E193" s="59"/>
      <c r="F193" s="59"/>
      <c r="G193" s="59"/>
      <c r="H193" s="59"/>
      <c r="I193" s="59"/>
      <c r="J193" s="189"/>
      <c r="K193" s="134"/>
      <c r="L193" s="116"/>
      <c r="M193" s="116"/>
      <c r="N193" s="190"/>
      <c r="O193" s="145"/>
      <c r="P193" s="116"/>
      <c r="Q193" s="116"/>
      <c r="R193" s="114"/>
      <c r="S193" s="74"/>
      <c r="Y193" s="8"/>
      <c r="Z193" s="9"/>
      <c r="AA193" s="9"/>
      <c r="AB193" s="9"/>
      <c r="AC193" s="9"/>
      <c r="AD193" s="9"/>
      <c r="AE193" s="9"/>
      <c r="AF193" s="9"/>
      <c r="AG193" s="9"/>
      <c r="AH193" s="9"/>
      <c r="AI193" s="43"/>
    </row>
    <row r="194" spans="2:35" ht="12.75" hidden="1" customHeight="1" outlineLevel="2">
      <c r="J194" s="193"/>
      <c r="K194" s="194"/>
      <c r="L194" s="119"/>
      <c r="M194" s="119"/>
      <c r="N194" s="191"/>
      <c r="O194" s="128"/>
      <c r="P194" s="119"/>
      <c r="Q194" s="119"/>
      <c r="R194" s="129"/>
      <c r="S194" s="74"/>
    </row>
    <row r="195" spans="2:35" ht="13.5" hidden="1" customHeight="1" outlineLevel="2" thickBot="1">
      <c r="J195" s="192"/>
      <c r="K195" s="153"/>
      <c r="L195" s="153"/>
      <c r="M195" s="153"/>
      <c r="N195" s="154"/>
      <c r="O195" s="74"/>
      <c r="P195" s="74"/>
      <c r="Q195" s="74"/>
      <c r="R195" s="74"/>
      <c r="S195" s="74"/>
    </row>
    <row r="196" spans="2:35" ht="13.5" hidden="1" customHeight="1" outlineLevel="2" thickBot="1"/>
    <row r="197" spans="2:35" ht="12.75" hidden="1" customHeight="1" outlineLevel="2">
      <c r="B197" s="1"/>
      <c r="C197" s="12"/>
      <c r="D197" s="12"/>
      <c r="E197" s="56"/>
      <c r="F197" s="56"/>
      <c r="G197" s="56"/>
      <c r="H197" s="56"/>
      <c r="I197" s="56"/>
      <c r="J197" s="179"/>
      <c r="K197" s="180"/>
      <c r="L197" s="180"/>
      <c r="M197" s="180"/>
      <c r="N197" s="181"/>
      <c r="O197" s="120"/>
      <c r="P197" s="56"/>
      <c r="Q197" s="56"/>
      <c r="R197" s="122"/>
      <c r="Y197" s="40"/>
      <c r="Z197" s="2"/>
      <c r="AA197" s="2"/>
      <c r="AB197" s="2"/>
      <c r="AC197" s="2"/>
      <c r="AD197" s="2"/>
      <c r="AE197" s="2"/>
      <c r="AF197" s="2"/>
      <c r="AG197" s="2"/>
      <c r="AH197" s="2"/>
      <c r="AI197" s="3"/>
    </row>
    <row r="198" spans="2:35" ht="12.75" hidden="1" customHeight="1" outlineLevel="2">
      <c r="B198" s="4"/>
      <c r="J198" s="182"/>
      <c r="K198" s="66"/>
      <c r="L198" s="66"/>
      <c r="M198" s="66"/>
      <c r="N198" s="183"/>
      <c r="O198" s="131"/>
      <c r="P198" s="66"/>
      <c r="Q198" s="66"/>
      <c r="R198" s="117"/>
      <c r="S198" s="66"/>
      <c r="Y198" s="4"/>
      <c r="AI198" s="5"/>
    </row>
    <row r="199" spans="2:35" ht="12.75" hidden="1" customHeight="1" outlineLevel="2">
      <c r="B199" s="4"/>
      <c r="D199" s="6"/>
      <c r="E199" s="57"/>
      <c r="F199" s="57"/>
      <c r="G199" s="57"/>
      <c r="H199" s="57"/>
      <c r="J199" s="184"/>
      <c r="K199" s="132"/>
      <c r="L199" s="147"/>
      <c r="M199" s="147"/>
      <c r="N199" s="185"/>
      <c r="O199" s="123"/>
      <c r="P199" s="132"/>
      <c r="Q199" s="132"/>
      <c r="R199" s="112"/>
      <c r="S199" s="132"/>
      <c r="Y199" s="4"/>
      <c r="AI199" s="5"/>
    </row>
    <row r="200" spans="2:35" ht="12.75" hidden="1" customHeight="1" outlineLevel="2">
      <c r="B200" s="4"/>
      <c r="D200" s="6"/>
      <c r="E200" s="57"/>
      <c r="G200" s="57"/>
      <c r="H200" s="57"/>
      <c r="J200" s="186"/>
      <c r="N200" s="187"/>
      <c r="O200" s="131"/>
      <c r="P200" s="66"/>
      <c r="Q200" s="66"/>
      <c r="R200" s="111"/>
      <c r="Y200" s="4"/>
      <c r="AI200" s="5"/>
    </row>
    <row r="201" spans="2:35" ht="12.75" hidden="1" customHeight="1" outlineLevel="2">
      <c r="B201" s="4"/>
      <c r="J201" s="110"/>
      <c r="O201" s="131"/>
      <c r="P201" s="144"/>
      <c r="Q201" s="66"/>
      <c r="R201" s="146"/>
      <c r="Y201" s="4"/>
      <c r="AI201" s="5"/>
    </row>
    <row r="202" spans="2:35" ht="12.75" hidden="1" customHeight="1" outlineLevel="2">
      <c r="B202" s="4"/>
      <c r="J202" s="188"/>
      <c r="K202" s="71"/>
      <c r="L202" s="133"/>
      <c r="M202" s="133"/>
      <c r="N202" s="72"/>
      <c r="O202" s="113"/>
      <c r="P202" s="133"/>
      <c r="Q202" s="133"/>
      <c r="R202" s="121"/>
      <c r="S202" s="133"/>
      <c r="T202" s="10"/>
      <c r="V202" s="14"/>
      <c r="Y202" s="41"/>
      <c r="Z202" s="14"/>
      <c r="AA202" s="14"/>
      <c r="AB202" s="14"/>
      <c r="AC202" s="14"/>
      <c r="AE202" s="31"/>
      <c r="AF202" s="10"/>
      <c r="AG202" s="10"/>
      <c r="AH202" s="10"/>
      <c r="AI202" s="42"/>
    </row>
    <row r="203" spans="2:35" ht="12.75" hidden="1" customHeight="1" outlineLevel="2">
      <c r="B203" s="4"/>
      <c r="J203" s="188"/>
      <c r="K203" s="71"/>
      <c r="L203" s="133"/>
      <c r="M203" s="133"/>
      <c r="N203" s="72"/>
      <c r="O203" s="113"/>
      <c r="P203" s="133"/>
      <c r="Q203" s="133"/>
      <c r="R203" s="121"/>
      <c r="S203" s="133"/>
      <c r="T203" s="10"/>
      <c r="V203" s="14"/>
      <c r="W203" s="18"/>
      <c r="Y203" s="41"/>
      <c r="Z203" s="14"/>
      <c r="AA203" s="14"/>
      <c r="AB203" s="14"/>
      <c r="AC203" s="14"/>
      <c r="AE203" s="31"/>
      <c r="AF203" s="10"/>
      <c r="AG203" s="10"/>
      <c r="AH203" s="10"/>
      <c r="AI203" s="42"/>
    </row>
    <row r="204" spans="2:35" ht="12.75" hidden="1" customHeight="1" outlineLevel="2">
      <c r="B204" s="4"/>
      <c r="D204" s="6"/>
      <c r="E204" s="57"/>
      <c r="G204" s="57"/>
      <c r="H204" s="57"/>
      <c r="J204" s="188"/>
      <c r="K204" s="71"/>
      <c r="L204" s="133"/>
      <c r="M204" s="133"/>
      <c r="N204" s="72"/>
      <c r="O204" s="113"/>
      <c r="P204" s="133"/>
      <c r="Q204" s="133"/>
      <c r="R204" s="121"/>
      <c r="S204" s="133"/>
      <c r="T204" s="10"/>
      <c r="V204" s="14"/>
      <c r="Y204" s="41"/>
      <c r="Z204" s="14"/>
      <c r="AA204" s="14"/>
      <c r="AB204" s="14"/>
      <c r="AC204" s="14"/>
      <c r="AE204" s="31"/>
      <c r="AF204" s="10"/>
      <c r="AG204" s="10"/>
      <c r="AH204" s="10"/>
      <c r="AI204" s="42"/>
    </row>
    <row r="205" spans="2:35" ht="12.75" hidden="1" customHeight="1" outlineLevel="2">
      <c r="B205" s="8"/>
      <c r="C205" s="9"/>
      <c r="D205" s="9"/>
      <c r="E205" s="59"/>
      <c r="F205" s="59"/>
      <c r="G205" s="59"/>
      <c r="H205" s="59"/>
      <c r="I205" s="59"/>
      <c r="J205" s="189"/>
      <c r="K205" s="134"/>
      <c r="L205" s="116"/>
      <c r="M205" s="116"/>
      <c r="N205" s="190"/>
      <c r="O205" s="145"/>
      <c r="P205" s="116"/>
      <c r="Q205" s="116"/>
      <c r="R205" s="114"/>
      <c r="S205" s="74"/>
      <c r="Y205" s="8"/>
      <c r="Z205" s="9"/>
      <c r="AA205" s="9"/>
      <c r="AB205" s="9"/>
      <c r="AC205" s="9"/>
      <c r="AD205" s="9"/>
      <c r="AE205" s="9"/>
      <c r="AF205" s="9"/>
      <c r="AG205" s="9"/>
      <c r="AH205" s="9"/>
      <c r="AI205" s="43"/>
    </row>
    <row r="206" spans="2:35" ht="12.75" hidden="1" customHeight="1" outlineLevel="2">
      <c r="J206" s="193"/>
      <c r="K206" s="194"/>
      <c r="L206" s="119"/>
      <c r="M206" s="119"/>
      <c r="N206" s="191"/>
      <c r="O206" s="128"/>
      <c r="P206" s="119"/>
      <c r="Q206" s="119"/>
      <c r="R206" s="129"/>
      <c r="S206" s="74"/>
    </row>
    <row r="207" spans="2:35" ht="13.5" hidden="1" customHeight="1" outlineLevel="2" thickBot="1">
      <c r="J207" s="192"/>
      <c r="K207" s="153"/>
      <c r="L207" s="153"/>
      <c r="M207" s="153"/>
      <c r="N207" s="154"/>
      <c r="O207" s="74"/>
      <c r="P207" s="74"/>
      <c r="Q207" s="74"/>
      <c r="R207" s="74"/>
      <c r="S207" s="74"/>
    </row>
    <row r="208" spans="2:35" ht="13.5" hidden="1" customHeight="1" outlineLevel="2" thickBot="1"/>
    <row r="209" spans="2:35" ht="12.75" hidden="1" customHeight="1" outlineLevel="2">
      <c r="B209" s="1"/>
      <c r="C209" s="12"/>
      <c r="D209" s="12"/>
      <c r="E209" s="56"/>
      <c r="F209" s="56"/>
      <c r="G209" s="56"/>
      <c r="H209" s="56"/>
      <c r="I209" s="56"/>
      <c r="J209" s="179"/>
      <c r="K209" s="180"/>
      <c r="L209" s="180"/>
      <c r="M209" s="180"/>
      <c r="N209" s="181"/>
      <c r="O209" s="120"/>
      <c r="P209" s="56"/>
      <c r="Q209" s="56"/>
      <c r="R209" s="122"/>
      <c r="Y209" s="40"/>
      <c r="Z209" s="2"/>
      <c r="AA209" s="2"/>
      <c r="AB209" s="2"/>
      <c r="AC209" s="2"/>
      <c r="AD209" s="2"/>
      <c r="AE209" s="2"/>
      <c r="AF209" s="2"/>
      <c r="AG209" s="2"/>
      <c r="AH209" s="2"/>
      <c r="AI209" s="3"/>
    </row>
    <row r="210" spans="2:35" ht="12.75" hidden="1" customHeight="1" outlineLevel="2">
      <c r="B210" s="4"/>
      <c r="J210" s="182"/>
      <c r="K210" s="66"/>
      <c r="L210" s="66"/>
      <c r="M210" s="66"/>
      <c r="N210" s="183"/>
      <c r="O210" s="131"/>
      <c r="P210" s="66"/>
      <c r="Q210" s="66"/>
      <c r="R210" s="117"/>
      <c r="S210" s="66"/>
      <c r="Y210" s="4"/>
      <c r="AI210" s="5"/>
    </row>
    <row r="211" spans="2:35" ht="12.75" hidden="1" customHeight="1" outlineLevel="2">
      <c r="B211" s="4"/>
      <c r="D211" s="6"/>
      <c r="E211" s="57"/>
      <c r="G211" s="57"/>
      <c r="H211" s="60"/>
      <c r="J211" s="184"/>
      <c r="K211" s="132"/>
      <c r="L211" s="147"/>
      <c r="M211" s="147"/>
      <c r="N211" s="185"/>
      <c r="O211" s="131"/>
      <c r="P211" s="66"/>
      <c r="Q211" s="66"/>
      <c r="R211" s="117"/>
      <c r="S211" s="66"/>
      <c r="Y211" s="4"/>
      <c r="AI211" s="5"/>
    </row>
    <row r="212" spans="2:35" ht="12.75" hidden="1" customHeight="1" outlineLevel="2">
      <c r="B212" s="4"/>
      <c r="D212" s="6"/>
      <c r="E212" s="57"/>
      <c r="G212" s="57"/>
      <c r="H212" s="57"/>
      <c r="J212" s="186"/>
      <c r="N212" s="187"/>
      <c r="O212" s="123"/>
      <c r="P212" s="132"/>
      <c r="Q212" s="132"/>
      <c r="R212" s="112"/>
      <c r="S212" s="132"/>
      <c r="Y212" s="4"/>
      <c r="AI212" s="5"/>
    </row>
    <row r="213" spans="2:35" ht="12.75" hidden="1" customHeight="1" outlineLevel="2">
      <c r="B213" s="4"/>
      <c r="D213" s="6"/>
      <c r="E213" s="57"/>
      <c r="G213" s="57"/>
      <c r="H213" s="57"/>
      <c r="J213" s="110"/>
      <c r="O213" s="131"/>
      <c r="P213" s="66"/>
      <c r="Q213" s="66"/>
      <c r="R213" s="111"/>
      <c r="Y213" s="4"/>
      <c r="AI213" s="5"/>
    </row>
    <row r="214" spans="2:35" ht="12.75" hidden="1" customHeight="1" outlineLevel="2">
      <c r="B214" s="4"/>
      <c r="J214" s="110"/>
      <c r="O214" s="131"/>
      <c r="P214" s="144"/>
      <c r="Q214" s="66"/>
      <c r="R214" s="146"/>
      <c r="Y214" s="4"/>
      <c r="AI214" s="5"/>
    </row>
    <row r="215" spans="2:35" ht="12.75" hidden="1" customHeight="1" outlineLevel="2">
      <c r="B215" s="4"/>
      <c r="J215" s="188"/>
      <c r="K215" s="71"/>
      <c r="L215" s="133"/>
      <c r="M215" s="133"/>
      <c r="N215" s="72"/>
      <c r="O215" s="113"/>
      <c r="P215" s="133"/>
      <c r="Q215" s="133"/>
      <c r="R215" s="121"/>
      <c r="S215" s="133"/>
      <c r="T215" s="10"/>
      <c r="V215" s="14"/>
      <c r="Y215" s="41"/>
      <c r="Z215" s="14"/>
      <c r="AA215" s="14"/>
      <c r="AB215" s="14"/>
      <c r="AC215" s="14"/>
      <c r="AE215" s="31"/>
      <c r="AF215" s="10"/>
      <c r="AG215" s="10"/>
      <c r="AH215" s="10"/>
      <c r="AI215" s="42"/>
    </row>
    <row r="216" spans="2:35" ht="12.75" hidden="1" customHeight="1" outlineLevel="2">
      <c r="B216" s="4"/>
      <c r="J216" s="188"/>
      <c r="K216" s="71"/>
      <c r="L216" s="133"/>
      <c r="M216" s="133"/>
      <c r="N216" s="72"/>
      <c r="O216" s="113"/>
      <c r="P216" s="133"/>
      <c r="Q216" s="133"/>
      <c r="R216" s="121"/>
      <c r="S216" s="133"/>
      <c r="T216" s="10"/>
      <c r="V216" s="14"/>
      <c r="W216" s="18"/>
      <c r="Y216" s="41"/>
      <c r="Z216" s="14"/>
      <c r="AA216" s="14"/>
      <c r="AB216" s="14"/>
      <c r="AC216" s="14"/>
      <c r="AE216" s="31"/>
      <c r="AF216" s="10"/>
      <c r="AG216" s="10"/>
      <c r="AH216" s="10"/>
      <c r="AI216" s="42"/>
    </row>
    <row r="217" spans="2:35" ht="12.75" hidden="1" customHeight="1" outlineLevel="2">
      <c r="B217" s="4"/>
      <c r="D217" s="6"/>
      <c r="E217" s="57"/>
      <c r="G217" s="57"/>
      <c r="H217" s="57"/>
      <c r="J217" s="188"/>
      <c r="K217" s="71"/>
      <c r="L217" s="133"/>
      <c r="M217" s="133"/>
      <c r="N217" s="72"/>
      <c r="O217" s="113"/>
      <c r="P217" s="133"/>
      <c r="Q217" s="133"/>
      <c r="R217" s="121"/>
      <c r="S217" s="133"/>
      <c r="T217" s="10"/>
      <c r="V217" s="14"/>
      <c r="Y217" s="41"/>
      <c r="Z217" s="14"/>
      <c r="AA217" s="14"/>
      <c r="AB217" s="14"/>
      <c r="AC217" s="14"/>
      <c r="AE217" s="31"/>
      <c r="AF217" s="10"/>
      <c r="AG217" s="10"/>
      <c r="AH217" s="10"/>
      <c r="AI217" s="42"/>
    </row>
    <row r="218" spans="2:35" ht="12.75" hidden="1" customHeight="1" outlineLevel="2">
      <c r="B218" s="8"/>
      <c r="C218" s="9"/>
      <c r="D218" s="9"/>
      <c r="E218" s="59"/>
      <c r="F218" s="59"/>
      <c r="G218" s="59"/>
      <c r="H218" s="59"/>
      <c r="I218" s="59"/>
      <c r="J218" s="189"/>
      <c r="K218" s="134"/>
      <c r="L218" s="116"/>
      <c r="M218" s="116"/>
      <c r="N218" s="190"/>
      <c r="O218" s="145"/>
      <c r="P218" s="116"/>
      <c r="Q218" s="116"/>
      <c r="R218" s="114"/>
      <c r="S218" s="74"/>
      <c r="Y218" s="8"/>
      <c r="Z218" s="9"/>
      <c r="AA218" s="9"/>
      <c r="AB218" s="9"/>
      <c r="AC218" s="9"/>
      <c r="AD218" s="9"/>
      <c r="AE218" s="9"/>
      <c r="AF218" s="9"/>
      <c r="AG218" s="9"/>
      <c r="AH218" s="9"/>
      <c r="AI218" s="43"/>
    </row>
    <row r="219" spans="2:35" ht="12.75" hidden="1" customHeight="1" outlineLevel="2">
      <c r="J219" s="193"/>
      <c r="K219" s="194"/>
      <c r="L219" s="119"/>
      <c r="M219" s="119"/>
      <c r="N219" s="191"/>
      <c r="O219" s="128"/>
      <c r="P219" s="119"/>
      <c r="Q219" s="119"/>
      <c r="R219" s="129"/>
      <c r="S219" s="74"/>
    </row>
    <row r="220" spans="2:35" ht="13.5" hidden="1" customHeight="1" outlineLevel="2" thickBot="1">
      <c r="J220" s="192"/>
      <c r="K220" s="153"/>
      <c r="L220" s="153"/>
      <c r="M220" s="153"/>
      <c r="N220" s="154"/>
      <c r="O220" s="74"/>
      <c r="P220" s="74"/>
      <c r="Q220" s="74"/>
      <c r="R220" s="74"/>
      <c r="S220" s="74"/>
    </row>
    <row r="221" spans="2:35" ht="13.5" hidden="1" customHeight="1" outlineLevel="2" thickBot="1"/>
    <row r="222" spans="2:35" ht="12.75" hidden="1" customHeight="1" outlineLevel="2">
      <c r="B222" s="1"/>
      <c r="C222" s="12"/>
      <c r="D222" s="12"/>
      <c r="E222" s="56"/>
      <c r="F222" s="56"/>
      <c r="G222" s="56"/>
      <c r="H222" s="56"/>
      <c r="I222" s="56"/>
      <c r="J222" s="179"/>
      <c r="K222" s="180"/>
      <c r="L222" s="180"/>
      <c r="M222" s="180"/>
      <c r="N222" s="181"/>
      <c r="O222" s="120"/>
      <c r="P222" s="56"/>
      <c r="Q222" s="56"/>
      <c r="R222" s="122"/>
      <c r="Y222" s="40"/>
      <c r="Z222" s="2"/>
      <c r="AA222" s="2"/>
      <c r="AB222" s="2"/>
      <c r="AC222" s="2"/>
      <c r="AD222" s="2"/>
      <c r="AE222" s="2"/>
      <c r="AF222" s="2"/>
      <c r="AG222" s="2"/>
      <c r="AH222" s="2"/>
      <c r="AI222" s="3"/>
    </row>
    <row r="223" spans="2:35" ht="12.75" hidden="1" customHeight="1" outlineLevel="2">
      <c r="B223" s="4"/>
      <c r="J223" s="182"/>
      <c r="K223" s="66"/>
      <c r="L223" s="66"/>
      <c r="M223" s="66"/>
      <c r="N223" s="183"/>
      <c r="O223" s="131"/>
      <c r="P223" s="66"/>
      <c r="Q223" s="66"/>
      <c r="R223" s="117"/>
      <c r="S223" s="66"/>
      <c r="Y223" s="4"/>
      <c r="AI223" s="5"/>
    </row>
    <row r="224" spans="2:35" ht="12.75" hidden="1" customHeight="1" outlineLevel="2">
      <c r="B224" s="4"/>
      <c r="D224" s="6"/>
      <c r="E224" s="57"/>
      <c r="F224" s="57"/>
      <c r="G224" s="57"/>
      <c r="H224" s="57"/>
      <c r="J224" s="184"/>
      <c r="K224" s="132"/>
      <c r="L224" s="147"/>
      <c r="M224" s="147"/>
      <c r="N224" s="185"/>
      <c r="O224" s="123"/>
      <c r="P224" s="132"/>
      <c r="Q224" s="132"/>
      <c r="R224" s="112"/>
      <c r="S224" s="132"/>
      <c r="Y224" s="4"/>
      <c r="AI224" s="5"/>
    </row>
    <row r="225" spans="2:35" ht="12.75" hidden="1" customHeight="1" outlineLevel="2">
      <c r="B225" s="4"/>
      <c r="D225" s="6"/>
      <c r="E225" s="57"/>
      <c r="F225" s="57"/>
      <c r="G225" s="57"/>
      <c r="H225" s="57"/>
      <c r="J225" s="186"/>
      <c r="N225" s="187"/>
      <c r="O225" s="131"/>
      <c r="P225" s="66"/>
      <c r="Q225" s="66"/>
      <c r="R225" s="111"/>
      <c r="Y225" s="4"/>
      <c r="AI225" s="5"/>
    </row>
    <row r="226" spans="2:35" ht="12.75" hidden="1" customHeight="1" outlineLevel="2">
      <c r="B226" s="4"/>
      <c r="J226" s="110"/>
      <c r="O226" s="131"/>
      <c r="P226" s="144"/>
      <c r="Q226" s="66"/>
      <c r="R226" s="146"/>
      <c r="Y226" s="4"/>
      <c r="AI226" s="5"/>
    </row>
    <row r="227" spans="2:35" ht="12.75" hidden="1" customHeight="1" outlineLevel="2">
      <c r="B227" s="4"/>
      <c r="J227" s="188"/>
      <c r="K227" s="71"/>
      <c r="L227" s="133"/>
      <c r="M227" s="133"/>
      <c r="N227" s="72"/>
      <c r="O227" s="113"/>
      <c r="P227" s="133"/>
      <c r="Q227" s="133"/>
      <c r="R227" s="121"/>
      <c r="S227" s="133"/>
      <c r="T227" s="10"/>
      <c r="V227" s="14"/>
      <c r="Y227" s="41"/>
      <c r="Z227" s="14"/>
      <c r="AA227" s="14"/>
      <c r="AB227" s="14"/>
      <c r="AC227" s="14"/>
      <c r="AE227" s="31"/>
      <c r="AF227" s="10"/>
      <c r="AG227" s="10"/>
      <c r="AH227" s="10"/>
      <c r="AI227" s="42"/>
    </row>
    <row r="228" spans="2:35" ht="12.75" hidden="1" customHeight="1" outlineLevel="2">
      <c r="B228" s="4"/>
      <c r="J228" s="188"/>
      <c r="K228" s="71"/>
      <c r="L228" s="133"/>
      <c r="M228" s="133"/>
      <c r="N228" s="72"/>
      <c r="O228" s="113"/>
      <c r="P228" s="133"/>
      <c r="Q228" s="133"/>
      <c r="R228" s="121"/>
      <c r="S228" s="133"/>
      <c r="T228" s="10"/>
      <c r="V228" s="14"/>
      <c r="W228" s="18"/>
      <c r="Y228" s="41"/>
      <c r="Z228" s="14"/>
      <c r="AA228" s="14"/>
      <c r="AB228" s="14"/>
      <c r="AC228" s="14"/>
      <c r="AE228" s="31"/>
      <c r="AF228" s="10"/>
      <c r="AG228" s="10"/>
      <c r="AH228" s="10"/>
      <c r="AI228" s="42"/>
    </row>
    <row r="229" spans="2:35" ht="12.75" hidden="1" customHeight="1" outlineLevel="2">
      <c r="B229" s="4"/>
      <c r="D229" s="6"/>
      <c r="E229" s="57"/>
      <c r="G229" s="57"/>
      <c r="H229" s="57"/>
      <c r="J229" s="188"/>
      <c r="K229" s="71"/>
      <c r="L229" s="133"/>
      <c r="M229" s="133"/>
      <c r="N229" s="72"/>
      <c r="O229" s="113"/>
      <c r="P229" s="133"/>
      <c r="Q229" s="133"/>
      <c r="R229" s="121"/>
      <c r="S229" s="133"/>
      <c r="T229" s="10"/>
      <c r="V229" s="14"/>
      <c r="Y229" s="41"/>
      <c r="Z229" s="14"/>
      <c r="AA229" s="14"/>
      <c r="AB229" s="14"/>
      <c r="AC229" s="14"/>
      <c r="AE229" s="31"/>
      <c r="AF229" s="10"/>
      <c r="AG229" s="10"/>
      <c r="AH229" s="10"/>
      <c r="AI229" s="42"/>
    </row>
    <row r="230" spans="2:35" ht="12.75" hidden="1" customHeight="1" outlineLevel="2">
      <c r="B230" s="8"/>
      <c r="C230" s="9"/>
      <c r="D230" s="9"/>
      <c r="E230" s="59"/>
      <c r="F230" s="59"/>
      <c r="G230" s="59"/>
      <c r="H230" s="59"/>
      <c r="I230" s="59"/>
      <c r="J230" s="189"/>
      <c r="K230" s="134"/>
      <c r="L230" s="116"/>
      <c r="M230" s="116"/>
      <c r="N230" s="190"/>
      <c r="O230" s="145"/>
      <c r="P230" s="116"/>
      <c r="Q230" s="116"/>
      <c r="R230" s="114"/>
      <c r="S230" s="74"/>
      <c r="Y230" s="8"/>
      <c r="Z230" s="9"/>
      <c r="AA230" s="9"/>
      <c r="AB230" s="9"/>
      <c r="AC230" s="9"/>
      <c r="AD230" s="9"/>
      <c r="AE230" s="9"/>
      <c r="AF230" s="9"/>
      <c r="AG230" s="9"/>
      <c r="AH230" s="9"/>
      <c r="AI230" s="43"/>
    </row>
    <row r="231" spans="2:35" ht="12.75" hidden="1" customHeight="1" outlineLevel="2">
      <c r="J231" s="193"/>
      <c r="K231" s="194"/>
      <c r="L231" s="119"/>
      <c r="M231" s="119"/>
      <c r="N231" s="191"/>
      <c r="O231" s="128"/>
      <c r="P231" s="119"/>
      <c r="Q231" s="119"/>
      <c r="R231" s="129"/>
      <c r="S231" s="74"/>
    </row>
    <row r="232" spans="2:35" ht="13.5" hidden="1" customHeight="1" outlineLevel="2" thickBot="1">
      <c r="J232" s="192"/>
      <c r="K232" s="153"/>
      <c r="L232" s="153"/>
      <c r="M232" s="153"/>
      <c r="N232" s="154"/>
      <c r="O232" s="74"/>
      <c r="P232" s="74"/>
      <c r="Q232" s="74"/>
      <c r="R232" s="74"/>
      <c r="S232" s="74"/>
    </row>
    <row r="233" spans="2:35" ht="13.5" hidden="1" customHeight="1" outlineLevel="2" thickBot="1"/>
    <row r="234" spans="2:35" ht="12.75" hidden="1" customHeight="1" outlineLevel="2">
      <c r="B234" s="1"/>
      <c r="C234" s="12"/>
      <c r="D234" s="12"/>
      <c r="E234" s="56"/>
      <c r="F234" s="56"/>
      <c r="G234" s="56"/>
      <c r="H234" s="56"/>
      <c r="I234" s="56"/>
      <c r="J234" s="179"/>
      <c r="K234" s="180"/>
      <c r="L234" s="180"/>
      <c r="M234" s="180"/>
      <c r="N234" s="181"/>
      <c r="O234" s="120"/>
      <c r="P234" s="56"/>
      <c r="Q234" s="56"/>
      <c r="R234" s="122"/>
      <c r="Y234" s="40"/>
      <c r="Z234" s="2"/>
      <c r="AA234" s="2"/>
      <c r="AB234" s="2"/>
      <c r="AC234" s="2"/>
      <c r="AD234" s="2"/>
      <c r="AE234" s="2"/>
      <c r="AF234" s="2"/>
      <c r="AG234" s="2"/>
      <c r="AH234" s="2"/>
      <c r="AI234" s="3"/>
    </row>
    <row r="235" spans="2:35" ht="12.75" hidden="1" customHeight="1" outlineLevel="2">
      <c r="B235" s="4"/>
      <c r="J235" s="182"/>
      <c r="K235" s="66"/>
      <c r="L235" s="66"/>
      <c r="M235" s="66"/>
      <c r="N235" s="183"/>
      <c r="O235" s="131"/>
      <c r="P235" s="66"/>
      <c r="Q235" s="66"/>
      <c r="R235" s="117"/>
      <c r="S235" s="66"/>
      <c r="Y235" s="4"/>
      <c r="AI235" s="5"/>
    </row>
    <row r="236" spans="2:35" ht="12.75" hidden="1" customHeight="1" outlineLevel="2">
      <c r="B236" s="4"/>
      <c r="D236" s="6"/>
      <c r="E236" s="57"/>
      <c r="F236" s="57"/>
      <c r="G236" s="57"/>
      <c r="H236" s="57"/>
      <c r="J236" s="184"/>
      <c r="K236" s="132"/>
      <c r="L236" s="147"/>
      <c r="M236" s="147"/>
      <c r="N236" s="185"/>
      <c r="O236" s="131"/>
      <c r="P236" s="66"/>
      <c r="Q236" s="66"/>
      <c r="R236" s="117"/>
      <c r="S236" s="66"/>
      <c r="Y236" s="4"/>
      <c r="AI236" s="5"/>
    </row>
    <row r="237" spans="2:35" ht="12.75" hidden="1" customHeight="1" outlineLevel="2">
      <c r="B237" s="4"/>
      <c r="D237" s="6"/>
      <c r="E237" s="57"/>
      <c r="F237" s="57"/>
      <c r="G237" s="57"/>
      <c r="H237" s="57"/>
      <c r="J237" s="186"/>
      <c r="N237" s="187"/>
      <c r="O237" s="123"/>
      <c r="P237" s="132"/>
      <c r="Q237" s="132"/>
      <c r="R237" s="112"/>
      <c r="S237" s="132"/>
      <c r="Y237" s="4"/>
      <c r="AI237" s="5"/>
    </row>
    <row r="238" spans="2:35" ht="12.75" hidden="1" customHeight="1" outlineLevel="2">
      <c r="B238" s="4"/>
      <c r="D238" s="6"/>
      <c r="E238" s="57"/>
      <c r="F238" s="57"/>
      <c r="G238" s="57"/>
      <c r="H238" s="57"/>
      <c r="J238" s="110"/>
      <c r="O238" s="131"/>
      <c r="P238" s="66"/>
      <c r="Q238" s="66"/>
      <c r="R238" s="111"/>
      <c r="Y238" s="4"/>
      <c r="AI238" s="5"/>
    </row>
    <row r="239" spans="2:35" ht="12.75" hidden="1" customHeight="1" outlineLevel="2">
      <c r="B239" s="4"/>
      <c r="J239" s="110"/>
      <c r="O239" s="131"/>
      <c r="P239" s="144"/>
      <c r="Q239" s="66"/>
      <c r="R239" s="146"/>
      <c r="Y239" s="4"/>
      <c r="AI239" s="5"/>
    </row>
    <row r="240" spans="2:35" ht="12.75" hidden="1" customHeight="1" outlineLevel="2">
      <c r="B240" s="4"/>
      <c r="J240" s="188"/>
      <c r="K240" s="71"/>
      <c r="L240" s="133"/>
      <c r="M240" s="133"/>
      <c r="N240" s="72"/>
      <c r="O240" s="113"/>
      <c r="P240" s="133"/>
      <c r="Q240" s="133"/>
      <c r="R240" s="121"/>
      <c r="S240" s="133"/>
      <c r="T240" s="10"/>
      <c r="V240" s="14"/>
      <c r="Y240" s="41"/>
      <c r="Z240" s="14"/>
      <c r="AA240" s="14"/>
      <c r="AB240" s="14"/>
      <c r="AC240" s="14"/>
      <c r="AE240" s="31"/>
      <c r="AF240" s="10"/>
      <c r="AG240" s="10"/>
      <c r="AH240" s="10"/>
      <c r="AI240" s="42"/>
    </row>
    <row r="241" spans="1:35" ht="12.75" hidden="1" customHeight="1" outlineLevel="2">
      <c r="B241" s="4"/>
      <c r="J241" s="188"/>
      <c r="K241" s="71"/>
      <c r="L241" s="133"/>
      <c r="M241" s="133"/>
      <c r="N241" s="72"/>
      <c r="O241" s="113"/>
      <c r="P241" s="133"/>
      <c r="Q241" s="133"/>
      <c r="R241" s="121"/>
      <c r="S241" s="133"/>
      <c r="T241" s="10"/>
      <c r="V241" s="14"/>
      <c r="W241" s="18"/>
      <c r="Y241" s="41"/>
      <c r="Z241" s="14"/>
      <c r="AA241" s="14"/>
      <c r="AB241" s="14"/>
      <c r="AC241" s="14"/>
      <c r="AE241" s="31"/>
      <c r="AF241" s="10"/>
      <c r="AG241" s="10"/>
      <c r="AH241" s="10"/>
      <c r="AI241" s="42"/>
    </row>
    <row r="242" spans="1:35" ht="12.75" hidden="1" customHeight="1" outlineLevel="2">
      <c r="B242" s="4"/>
      <c r="D242" s="6"/>
      <c r="E242" s="57"/>
      <c r="G242" s="57"/>
      <c r="H242" s="57"/>
      <c r="J242" s="188"/>
      <c r="K242" s="71"/>
      <c r="L242" s="133"/>
      <c r="M242" s="133"/>
      <c r="N242" s="72"/>
      <c r="O242" s="113"/>
      <c r="P242" s="133"/>
      <c r="Q242" s="133"/>
      <c r="R242" s="121"/>
      <c r="S242" s="133"/>
      <c r="T242" s="10"/>
      <c r="V242" s="14"/>
      <c r="Y242" s="44"/>
      <c r="Z242" s="45"/>
      <c r="AA242" s="45"/>
      <c r="AB242" s="45"/>
      <c r="AC242" s="45"/>
      <c r="AD242" s="9"/>
      <c r="AE242" s="46"/>
      <c r="AF242" s="47"/>
      <c r="AG242" s="47"/>
      <c r="AH242" s="47"/>
      <c r="AI242" s="48"/>
    </row>
    <row r="243" spans="1:35" ht="12.75" hidden="1" customHeight="1" outlineLevel="2">
      <c r="B243" s="8"/>
      <c r="C243" s="9"/>
      <c r="D243" s="9"/>
      <c r="E243" s="59"/>
      <c r="F243" s="59"/>
      <c r="G243" s="59"/>
      <c r="H243" s="59"/>
      <c r="I243" s="59"/>
      <c r="J243" s="189"/>
      <c r="K243" s="134"/>
      <c r="L243" s="116"/>
      <c r="M243" s="116"/>
      <c r="N243" s="190"/>
      <c r="O243" s="145"/>
      <c r="P243" s="116"/>
      <c r="Q243" s="116"/>
      <c r="R243" s="114"/>
      <c r="S243" s="74"/>
    </row>
    <row r="244" spans="1:35" ht="12.75" hidden="1" customHeight="1" outlineLevel="2">
      <c r="J244" s="193"/>
      <c r="K244" s="194"/>
      <c r="L244" s="119"/>
      <c r="M244" s="119"/>
      <c r="N244" s="191"/>
      <c r="O244" s="128"/>
      <c r="P244" s="119"/>
      <c r="Q244" s="119"/>
      <c r="R244" s="129"/>
      <c r="S244" s="74"/>
    </row>
    <row r="245" spans="1:35" ht="13.5" hidden="1" customHeight="1" outlineLevel="2" thickBot="1">
      <c r="J245" s="192"/>
      <c r="K245" s="153" t="s">
        <v>124</v>
      </c>
      <c r="L245" s="153">
        <f>L244</f>
        <v>0</v>
      </c>
      <c r="M245" s="153">
        <f>((M243*(1+Q$10))-$L$8)/$L$8</f>
        <v>-1</v>
      </c>
      <c r="N245" s="154">
        <f>((N243*(1+R$10))-$L$8)/$L$8</f>
        <v>-1</v>
      </c>
      <c r="O245" s="74"/>
      <c r="P245" s="74"/>
      <c r="Q245" s="74"/>
      <c r="R245" s="74"/>
      <c r="S245" s="74"/>
    </row>
    <row r="246" spans="1:35" ht="13.5" hidden="1" outlineLevel="2" thickBot="1">
      <c r="J246" s="52"/>
      <c r="K246" s="52"/>
      <c r="L246" s="74"/>
      <c r="M246" s="74"/>
      <c r="O246" s="74"/>
    </row>
    <row r="247" spans="1:35" hidden="1" outlineLevel="2">
      <c r="A247" s="49" t="s">
        <v>145</v>
      </c>
      <c r="B247" s="249" t="s">
        <v>146</v>
      </c>
      <c r="C247" s="12"/>
      <c r="D247" s="12"/>
      <c r="E247" s="56"/>
      <c r="F247" s="56"/>
      <c r="G247" s="56"/>
      <c r="H247" s="56"/>
      <c r="I247" s="56"/>
      <c r="J247" s="179"/>
      <c r="K247" s="180"/>
      <c r="L247" s="180"/>
      <c r="M247" s="180"/>
      <c r="N247" s="181"/>
      <c r="O247" s="120" t="s">
        <v>133</v>
      </c>
      <c r="P247" s="56"/>
      <c r="Q247" s="56"/>
      <c r="R247" s="122"/>
      <c r="Y247" s="40"/>
      <c r="Z247" s="2"/>
      <c r="AA247" s="2"/>
      <c r="AB247" s="2"/>
      <c r="AC247" s="2"/>
      <c r="AD247" s="2"/>
      <c r="AE247" s="2"/>
      <c r="AF247" s="2"/>
      <c r="AG247" s="2"/>
      <c r="AH247" s="2"/>
      <c r="AI247" s="3"/>
    </row>
    <row r="248" spans="1:35" hidden="1" outlineLevel="2">
      <c r="B248" s="4"/>
      <c r="D248" t="s">
        <v>89</v>
      </c>
      <c r="E248" s="13" t="s">
        <v>90</v>
      </c>
      <c r="F248" s="13" t="s">
        <v>91</v>
      </c>
      <c r="G248" s="13" t="s">
        <v>92</v>
      </c>
      <c r="H248" s="13" t="s">
        <v>93</v>
      </c>
      <c r="J248" s="182" t="s">
        <v>134</v>
      </c>
      <c r="K248" s="66" t="s">
        <v>135</v>
      </c>
      <c r="L248" s="66" t="s">
        <v>136</v>
      </c>
      <c r="M248" s="66" t="s">
        <v>136</v>
      </c>
      <c r="N248" s="183" t="s">
        <v>136</v>
      </c>
      <c r="O248" s="131"/>
      <c r="P248" s="66"/>
      <c r="Q248" s="66"/>
      <c r="R248" s="117"/>
      <c r="S248" s="66"/>
      <c r="Y248" s="4"/>
      <c r="AI248" s="5"/>
    </row>
    <row r="249" spans="1:35" ht="25.5" hidden="1" outlineLevel="2">
      <c r="B249" s="4" t="s">
        <v>137</v>
      </c>
      <c r="C249" t="s">
        <v>138</v>
      </c>
      <c r="D249" s="6" t="s">
        <v>147</v>
      </c>
      <c r="E249" s="6" t="s">
        <v>147</v>
      </c>
      <c r="F249" s="6" t="s">
        <v>147</v>
      </c>
      <c r="G249" s="6" t="s">
        <v>147</v>
      </c>
      <c r="H249" s="6" t="s">
        <v>147</v>
      </c>
      <c r="J249" s="184" t="s">
        <v>140</v>
      </c>
      <c r="K249" s="132" t="s">
        <v>140</v>
      </c>
      <c r="L249" s="147" t="s">
        <v>141</v>
      </c>
      <c r="M249" s="147" t="s">
        <v>140</v>
      </c>
      <c r="N249" s="185" t="s">
        <v>140</v>
      </c>
      <c r="O249" s="123"/>
      <c r="P249" s="132"/>
      <c r="Q249" s="132"/>
      <c r="R249" s="112"/>
      <c r="S249" s="132"/>
      <c r="Y249" s="4"/>
      <c r="AI249" s="5"/>
    </row>
    <row r="250" spans="1:35" hidden="1" outlineLevel="2">
      <c r="B250" s="4" t="s">
        <v>142</v>
      </c>
      <c r="C250" t="s">
        <v>143</v>
      </c>
      <c r="D250" s="6" t="s">
        <v>147</v>
      </c>
      <c r="E250" s="6" t="s">
        <v>147</v>
      </c>
      <c r="F250" s="6" t="s">
        <v>147</v>
      </c>
      <c r="G250" s="6" t="s">
        <v>147</v>
      </c>
      <c r="H250" s="6" t="s">
        <v>147</v>
      </c>
      <c r="J250" s="186"/>
      <c r="L250" s="13" t="s">
        <v>12</v>
      </c>
      <c r="M250" s="13" t="s">
        <v>13</v>
      </c>
      <c r="N250" s="187" t="s">
        <v>144</v>
      </c>
      <c r="O250" s="131"/>
      <c r="P250" s="66"/>
      <c r="Q250" s="66"/>
      <c r="R250" s="111"/>
      <c r="Y250" s="4"/>
      <c r="AI250" s="5"/>
    </row>
    <row r="251" spans="1:35" hidden="1" outlineLevel="2">
      <c r="B251" s="4"/>
      <c r="J251" s="110"/>
      <c r="O251" s="131"/>
      <c r="P251" s="144"/>
      <c r="Q251" s="66"/>
      <c r="R251" s="146"/>
      <c r="Y251" s="4"/>
      <c r="AI251" s="5"/>
    </row>
    <row r="252" spans="1:35" hidden="1" outlineLevel="2">
      <c r="B252" s="4" t="s">
        <v>94</v>
      </c>
      <c r="D252">
        <v>1.25</v>
      </c>
      <c r="E252" s="13">
        <v>1.25</v>
      </c>
      <c r="F252" s="13">
        <v>1.25</v>
      </c>
      <c r="G252" s="13">
        <v>1.25</v>
      </c>
      <c r="H252" s="13">
        <v>1.25</v>
      </c>
      <c r="J252" s="188">
        <f>(SUM(D252:I252)*J$11)</f>
        <v>250</v>
      </c>
      <c r="K252" s="71">
        <f>(5*10.5*K$11)</f>
        <v>630</v>
      </c>
      <c r="L252" s="286">
        <f>K252+J252</f>
        <v>880</v>
      </c>
      <c r="M252" s="286">
        <f>J252+8*10.5*5</f>
        <v>670</v>
      </c>
      <c r="N252" s="286">
        <f>J252</f>
        <v>250</v>
      </c>
      <c r="O252" s="133"/>
      <c r="P252" s="133"/>
      <c r="Q252" s="133"/>
      <c r="R252" s="121"/>
      <c r="S252" s="133"/>
      <c r="T252" s="10"/>
      <c r="V252" s="14"/>
      <c r="Y252" s="41"/>
      <c r="Z252" s="14"/>
      <c r="AA252" s="14"/>
      <c r="AB252" s="14"/>
      <c r="AC252" s="14"/>
      <c r="AE252" s="31"/>
      <c r="AF252" s="10"/>
      <c r="AG252" s="10"/>
      <c r="AH252" s="10"/>
      <c r="AI252" s="42"/>
    </row>
    <row r="253" spans="1:35" hidden="1" outlineLevel="2">
      <c r="B253" s="4" t="s">
        <v>95</v>
      </c>
      <c r="D253">
        <f>D252+D254</f>
        <v>5</v>
      </c>
      <c r="E253" s="13">
        <f>E252+E254</f>
        <v>5</v>
      </c>
      <c r="F253" s="13">
        <f>F252+F254</f>
        <v>5</v>
      </c>
      <c r="G253" s="13">
        <f>G252+G254</f>
        <v>5</v>
      </c>
      <c r="H253" s="13">
        <f>H252+H254</f>
        <v>5</v>
      </c>
      <c r="J253" s="188">
        <f>J252+J254</f>
        <v>1000</v>
      </c>
      <c r="K253" s="71">
        <f>K252</f>
        <v>630</v>
      </c>
      <c r="L253" s="133">
        <f>K253+J253</f>
        <v>1630</v>
      </c>
      <c r="M253" s="133">
        <f>J253+8*10.5*5</f>
        <v>1420</v>
      </c>
      <c r="N253" s="72">
        <f>J253</f>
        <v>1000</v>
      </c>
      <c r="O253" s="113"/>
      <c r="P253" s="133"/>
      <c r="Q253" s="133"/>
      <c r="R253" s="121"/>
      <c r="S253" s="133"/>
      <c r="T253" s="10"/>
      <c r="V253" s="14"/>
      <c r="W253" s="18"/>
      <c r="Y253" s="41"/>
      <c r="Z253" s="14"/>
      <c r="AA253" s="14"/>
      <c r="AB253" s="14"/>
      <c r="AC253" s="14"/>
      <c r="AE253" s="31"/>
      <c r="AF253" s="10"/>
      <c r="AG253" s="10"/>
      <c r="AH253" s="10"/>
      <c r="AI253" s="42"/>
    </row>
    <row r="254" spans="1:35" hidden="1" outlineLevel="2">
      <c r="B254" s="4" t="s">
        <v>96</v>
      </c>
      <c r="D254" s="6">
        <v>3.75</v>
      </c>
      <c r="E254" s="6">
        <v>3.75</v>
      </c>
      <c r="F254" s="6">
        <v>3.75</v>
      </c>
      <c r="G254" s="6">
        <v>3.75</v>
      </c>
      <c r="H254" s="6">
        <v>3.75</v>
      </c>
      <c r="J254" s="188">
        <f>(SUM(D254:I254)*J$11)</f>
        <v>750</v>
      </c>
      <c r="K254" s="71">
        <f>(5*10.5*K$11)</f>
        <v>630</v>
      </c>
      <c r="L254" s="286">
        <f>K254+J254</f>
        <v>1380</v>
      </c>
      <c r="M254" s="286">
        <f>J254+8*10.5*5</f>
        <v>1170</v>
      </c>
      <c r="N254" s="286">
        <f>J254</f>
        <v>750</v>
      </c>
      <c r="O254" s="133"/>
      <c r="P254" s="133"/>
      <c r="Q254" s="133"/>
      <c r="R254" s="121"/>
      <c r="S254" s="133"/>
      <c r="T254" s="10"/>
      <c r="V254" s="14"/>
      <c r="Y254" s="41"/>
      <c r="Z254" s="14"/>
      <c r="AA254" s="14"/>
      <c r="AB254" s="14"/>
      <c r="AC254" s="14"/>
      <c r="AE254" s="31"/>
      <c r="AF254" s="10"/>
      <c r="AG254" s="10"/>
      <c r="AH254" s="10"/>
      <c r="AI254" s="42"/>
    </row>
    <row r="255" spans="1:35" hidden="1" outlineLevel="2">
      <c r="B255" s="8"/>
      <c r="C255" s="9"/>
      <c r="D255" s="9"/>
      <c r="E255" s="59"/>
      <c r="F255" s="59"/>
      <c r="G255" s="59"/>
      <c r="H255" s="59"/>
      <c r="I255" s="59"/>
      <c r="J255" s="189"/>
      <c r="K255" s="134" t="s">
        <v>97</v>
      </c>
      <c r="L255" s="116">
        <f t="shared" ref="L255" si="10">10%*L252+20%*L253+70%*L254</f>
        <v>1380</v>
      </c>
      <c r="M255" s="116">
        <f>10%*M252+20%*M253+70%*M254</f>
        <v>1170</v>
      </c>
      <c r="N255" s="190">
        <f>10%*N252+20%*N253+70%*N254</f>
        <v>750</v>
      </c>
      <c r="O255" s="145"/>
      <c r="P255" s="116"/>
      <c r="Q255" s="116"/>
      <c r="R255" s="114"/>
      <c r="S255" s="74"/>
      <c r="Y255" s="8"/>
      <c r="Z255" s="9"/>
      <c r="AA255" s="9"/>
      <c r="AB255" s="9"/>
      <c r="AC255" s="9"/>
      <c r="AD255" s="9"/>
      <c r="AE255" s="9"/>
      <c r="AF255" s="9"/>
      <c r="AG255" s="9"/>
      <c r="AH255" s="9"/>
      <c r="AI255" s="43"/>
    </row>
    <row r="256" spans="1:35" hidden="1" outlineLevel="2">
      <c r="J256" s="193"/>
      <c r="K256" s="194" t="s">
        <v>123</v>
      </c>
      <c r="L256" s="119">
        <f>(L255-L$8)/L$8</f>
        <v>8.771929824561403E-3</v>
      </c>
      <c r="M256" s="119">
        <f>(M255-L$8)/L$8</f>
        <v>-0.14473684210526316</v>
      </c>
      <c r="N256" s="191">
        <f>(N255-L$8)/L$8</f>
        <v>-0.4517543859649123</v>
      </c>
      <c r="O256" s="128"/>
      <c r="P256" s="119"/>
      <c r="Q256" s="119"/>
      <c r="R256" s="129"/>
      <c r="S256" s="74"/>
    </row>
    <row r="257" spans="1:35" ht="13.5" hidden="1" outlineLevel="2" thickBot="1">
      <c r="J257" s="192"/>
      <c r="K257" s="153" t="s">
        <v>124</v>
      </c>
      <c r="L257" s="153">
        <f>L256</f>
        <v>8.771929824561403E-3</v>
      </c>
      <c r="M257" s="153">
        <f>((M255*(1+Q$10))-$L$8)/$L$8</f>
        <v>-0.10197368421052631</v>
      </c>
      <c r="N257" s="154">
        <f>((N255*(1+R$10))-$L$8)/$L$8</f>
        <v>-0.38596491228070168</v>
      </c>
      <c r="O257" s="74"/>
      <c r="P257" s="74"/>
      <c r="Q257" s="74"/>
      <c r="R257" s="74"/>
      <c r="S257" s="74"/>
    </row>
    <row r="258" spans="1:35" ht="13.5" hidden="1" outlineLevel="2" thickBot="1"/>
    <row r="259" spans="1:35" hidden="1" outlineLevel="2">
      <c r="A259" s="49"/>
      <c r="B259" s="249"/>
      <c r="C259" s="12"/>
      <c r="D259" s="12"/>
      <c r="E259" s="56"/>
      <c r="F259" s="56"/>
      <c r="G259" s="56"/>
      <c r="H259" s="56"/>
      <c r="I259" s="56"/>
      <c r="J259" s="179"/>
      <c r="K259" s="180"/>
      <c r="L259" s="180"/>
      <c r="M259" s="180"/>
      <c r="N259" s="181"/>
      <c r="O259" s="120"/>
      <c r="P259" s="56"/>
      <c r="Q259" s="56"/>
      <c r="R259" s="122"/>
      <c r="Y259" s="40"/>
      <c r="Z259" s="2"/>
      <c r="AA259" s="2"/>
      <c r="AB259" s="2"/>
      <c r="AC259" s="2"/>
      <c r="AD259" s="2"/>
      <c r="AE259" s="2"/>
      <c r="AF259" s="2"/>
      <c r="AG259" s="2"/>
      <c r="AH259" s="2"/>
      <c r="AI259" s="3"/>
    </row>
    <row r="260" spans="1:35" hidden="1" outlineLevel="2">
      <c r="B260" s="4"/>
      <c r="J260" s="182"/>
      <c r="K260" s="66"/>
      <c r="L260" s="66"/>
      <c r="M260" s="66"/>
      <c r="N260" s="183"/>
      <c r="O260" s="131"/>
      <c r="P260" s="66"/>
      <c r="Q260" s="66"/>
      <c r="R260" s="117"/>
      <c r="S260" s="66"/>
      <c r="Y260" s="4"/>
      <c r="AI260" s="5"/>
    </row>
    <row r="261" spans="1:35" hidden="1" outlineLevel="2">
      <c r="B261" s="4"/>
      <c r="D261" s="6"/>
      <c r="E261" s="6"/>
      <c r="F261" s="6"/>
      <c r="G261" s="6"/>
      <c r="H261" s="6"/>
      <c r="J261" s="184"/>
      <c r="K261" s="132"/>
      <c r="L261" s="147"/>
      <c r="M261" s="147"/>
      <c r="N261" s="185"/>
      <c r="O261" s="123"/>
      <c r="P261" s="132"/>
      <c r="Q261" s="132"/>
      <c r="R261" s="112"/>
      <c r="S261" s="132"/>
      <c r="Y261" s="4"/>
      <c r="AI261" s="5"/>
    </row>
    <row r="262" spans="1:35" hidden="1" outlineLevel="2">
      <c r="B262" s="4"/>
      <c r="D262" s="6"/>
      <c r="E262" s="6"/>
      <c r="F262" s="6"/>
      <c r="G262" s="6"/>
      <c r="H262" s="6"/>
      <c r="J262" s="186"/>
      <c r="N262" s="187"/>
      <c r="O262" s="131"/>
      <c r="P262" s="66"/>
      <c r="Q262" s="66"/>
      <c r="R262" s="111"/>
      <c r="Y262" s="4"/>
      <c r="AI262" s="5"/>
    </row>
    <row r="263" spans="1:35" hidden="1" outlineLevel="2">
      <c r="B263" s="4"/>
      <c r="J263" s="110"/>
      <c r="O263" s="131"/>
      <c r="P263" s="144"/>
      <c r="Q263" s="66"/>
      <c r="R263" s="146"/>
      <c r="Y263" s="4"/>
      <c r="AI263" s="5"/>
    </row>
    <row r="264" spans="1:35" hidden="1" outlineLevel="2">
      <c r="B264" s="4"/>
      <c r="J264" s="188"/>
      <c r="K264" s="71"/>
      <c r="L264" s="286"/>
      <c r="M264" s="286"/>
      <c r="N264" s="286"/>
      <c r="O264" s="133"/>
      <c r="P264" s="133"/>
      <c r="Q264" s="133"/>
      <c r="R264" s="121"/>
      <c r="S264" s="133"/>
      <c r="T264" s="10"/>
      <c r="V264" s="14"/>
      <c r="Y264" s="41"/>
      <c r="Z264" s="14"/>
      <c r="AA264" s="14"/>
      <c r="AB264" s="14"/>
      <c r="AC264" s="14"/>
      <c r="AE264" s="31"/>
      <c r="AF264" s="10"/>
      <c r="AG264" s="10"/>
      <c r="AH264" s="10"/>
      <c r="AI264" s="42"/>
    </row>
    <row r="265" spans="1:35" hidden="1" outlineLevel="2">
      <c r="B265" s="4"/>
      <c r="J265" s="188"/>
      <c r="K265" s="71"/>
      <c r="L265" s="133"/>
      <c r="M265" s="133"/>
      <c r="N265" s="72"/>
      <c r="O265" s="113"/>
      <c r="P265" s="133"/>
      <c r="Q265" s="133"/>
      <c r="R265" s="121"/>
      <c r="S265" s="133"/>
      <c r="T265" s="10"/>
      <c r="V265" s="14"/>
      <c r="W265" s="18"/>
      <c r="Y265" s="41"/>
      <c r="Z265" s="14"/>
      <c r="AA265" s="14"/>
      <c r="AB265" s="14"/>
      <c r="AC265" s="14"/>
      <c r="AE265" s="31"/>
      <c r="AF265" s="10"/>
      <c r="AG265" s="10"/>
      <c r="AH265" s="10"/>
      <c r="AI265" s="42"/>
    </row>
    <row r="266" spans="1:35" hidden="1" outlineLevel="2">
      <c r="B266" s="4"/>
      <c r="D266" s="6"/>
      <c r="E266" s="6"/>
      <c r="F266" s="6"/>
      <c r="G266" s="6"/>
      <c r="H266" s="6"/>
      <c r="J266" s="188"/>
      <c r="K266" s="71"/>
      <c r="L266" s="286"/>
      <c r="M266" s="286"/>
      <c r="N266" s="286"/>
      <c r="O266" s="133"/>
      <c r="P266" s="133"/>
      <c r="Q266" s="133"/>
      <c r="R266" s="121"/>
      <c r="S266" s="133"/>
      <c r="T266" s="10"/>
      <c r="V266" s="14"/>
      <c r="Y266" s="41"/>
      <c r="Z266" s="14"/>
      <c r="AA266" s="14"/>
      <c r="AB266" s="14"/>
      <c r="AC266" s="14"/>
      <c r="AE266" s="31"/>
      <c r="AF266" s="10"/>
      <c r="AG266" s="10"/>
      <c r="AH266" s="10"/>
      <c r="AI266" s="42"/>
    </row>
    <row r="267" spans="1:35" hidden="1" outlineLevel="2">
      <c r="B267" s="8"/>
      <c r="C267" s="9"/>
      <c r="D267" s="9"/>
      <c r="E267" s="59"/>
      <c r="F267" s="59"/>
      <c r="G267" s="59"/>
      <c r="H267" s="59"/>
      <c r="I267" s="59"/>
      <c r="J267" s="189"/>
      <c r="K267" s="134"/>
      <c r="L267" s="116"/>
      <c r="M267" s="116"/>
      <c r="N267" s="190"/>
      <c r="O267" s="145"/>
      <c r="P267" s="116"/>
      <c r="Q267" s="116"/>
      <c r="R267" s="114"/>
      <c r="S267" s="74"/>
      <c r="Y267" s="8"/>
      <c r="Z267" s="9"/>
      <c r="AA267" s="9"/>
      <c r="AB267" s="9"/>
      <c r="AC267" s="9"/>
      <c r="AD267" s="9"/>
      <c r="AE267" s="9"/>
      <c r="AF267" s="9"/>
      <c r="AG267" s="9"/>
      <c r="AH267" s="9"/>
      <c r="AI267" s="43"/>
    </row>
    <row r="268" spans="1:35" hidden="1" outlineLevel="2">
      <c r="J268" s="193"/>
      <c r="K268" s="194"/>
      <c r="L268" s="119"/>
      <c r="M268" s="119"/>
      <c r="N268" s="191"/>
      <c r="O268" s="128"/>
      <c r="P268" s="119"/>
      <c r="Q268" s="119"/>
      <c r="R268" s="129"/>
      <c r="S268" s="74"/>
    </row>
    <row r="269" spans="1:35" ht="13.5" hidden="1" outlineLevel="2" thickBot="1">
      <c r="J269" s="192"/>
      <c r="K269" s="153"/>
      <c r="L269" s="153"/>
      <c r="M269" s="153"/>
      <c r="N269" s="154"/>
      <c r="O269" s="74"/>
      <c r="P269" s="74"/>
      <c r="Q269" s="74"/>
      <c r="R269" s="74"/>
      <c r="S269" s="74"/>
    </row>
    <row r="270" spans="1:35" ht="13.5" hidden="1" outlineLevel="2" thickBot="1"/>
    <row r="271" spans="1:35" hidden="1" outlineLevel="2">
      <c r="A271" s="248" t="s">
        <v>145</v>
      </c>
      <c r="B271" s="249"/>
      <c r="C271" s="12"/>
      <c r="D271" s="12"/>
      <c r="E271" s="56"/>
      <c r="F271" s="56"/>
      <c r="G271" s="56"/>
      <c r="H271" s="56"/>
      <c r="I271" s="56"/>
      <c r="J271" s="179"/>
      <c r="K271" s="180"/>
      <c r="L271" s="180"/>
      <c r="M271" s="180"/>
      <c r="N271" s="181"/>
      <c r="O271" s="120"/>
      <c r="P271" s="56"/>
      <c r="Q271" s="56"/>
      <c r="R271" s="122"/>
      <c r="Y271" s="40"/>
      <c r="Z271" s="2"/>
      <c r="AA271" s="2"/>
      <c r="AB271" s="2"/>
      <c r="AC271" s="2"/>
      <c r="AD271" s="2"/>
      <c r="AE271" s="2"/>
      <c r="AF271" s="2"/>
      <c r="AG271" s="2"/>
      <c r="AH271" s="2"/>
      <c r="AI271" s="3"/>
    </row>
    <row r="272" spans="1:35" hidden="1" outlineLevel="2">
      <c r="B272" s="4"/>
      <c r="J272" s="182"/>
      <c r="K272" s="66"/>
      <c r="L272" s="66"/>
      <c r="M272" s="66"/>
      <c r="N272" s="183"/>
      <c r="O272" s="131"/>
      <c r="P272" s="66"/>
      <c r="Q272" s="66"/>
      <c r="R272" s="117"/>
      <c r="S272" s="66"/>
      <c r="Y272" s="4"/>
      <c r="AI272" s="5"/>
    </row>
    <row r="273" spans="1:35" hidden="1" outlineLevel="2">
      <c r="B273" s="4"/>
      <c r="D273" s="6"/>
      <c r="E273" s="57"/>
      <c r="F273" s="57"/>
      <c r="G273" s="57"/>
      <c r="H273" s="57"/>
      <c r="J273" s="184"/>
      <c r="K273" s="132"/>
      <c r="L273" s="147"/>
      <c r="M273" s="147"/>
      <c r="N273" s="185"/>
      <c r="O273" s="123"/>
      <c r="P273" s="132"/>
      <c r="Q273" s="132"/>
      <c r="R273" s="112"/>
      <c r="S273" s="132"/>
      <c r="Y273" s="4"/>
      <c r="AI273" s="5"/>
    </row>
    <row r="274" spans="1:35" hidden="1" outlineLevel="2">
      <c r="B274" s="4"/>
      <c r="D274" s="6"/>
      <c r="E274" s="57"/>
      <c r="F274" s="57"/>
      <c r="G274" s="57"/>
      <c r="H274" s="57"/>
      <c r="J274" s="186"/>
      <c r="N274" s="187"/>
      <c r="O274" s="131"/>
      <c r="P274" s="66"/>
      <c r="Q274" s="66"/>
      <c r="R274" s="111"/>
      <c r="Y274" s="4"/>
      <c r="AI274" s="5"/>
    </row>
    <row r="275" spans="1:35" hidden="1" outlineLevel="2">
      <c r="B275" s="4"/>
      <c r="J275" s="110"/>
      <c r="O275" s="131"/>
      <c r="P275" s="144"/>
      <c r="Q275" s="66"/>
      <c r="R275" s="146"/>
      <c r="Y275" s="4"/>
      <c r="AI275" s="5"/>
    </row>
    <row r="276" spans="1:35" hidden="1" outlineLevel="2">
      <c r="B276" s="4"/>
      <c r="J276" s="188"/>
      <c r="K276" s="71"/>
      <c r="L276" s="286"/>
      <c r="M276" s="286"/>
      <c r="N276" s="286"/>
      <c r="O276" s="133"/>
      <c r="P276" s="133"/>
      <c r="Q276" s="133"/>
      <c r="R276" s="121"/>
      <c r="S276" s="133"/>
      <c r="T276" s="10"/>
      <c r="V276" s="14"/>
      <c r="Y276" s="41"/>
      <c r="Z276" s="14"/>
      <c r="AA276" s="14"/>
      <c r="AB276" s="14"/>
      <c r="AC276" s="14"/>
      <c r="AE276" s="31"/>
      <c r="AF276" s="10"/>
      <c r="AG276" s="10"/>
      <c r="AH276" s="10"/>
      <c r="AI276" s="42"/>
    </row>
    <row r="277" spans="1:35" hidden="1" outlineLevel="2">
      <c r="B277" s="4"/>
      <c r="J277" s="188"/>
      <c r="K277" s="71"/>
      <c r="L277" s="133"/>
      <c r="M277" s="133"/>
      <c r="N277" s="72"/>
      <c r="O277" s="113"/>
      <c r="P277" s="133"/>
      <c r="Q277" s="133"/>
      <c r="R277" s="121"/>
      <c r="S277" s="133"/>
      <c r="T277" s="10"/>
      <c r="V277" s="14"/>
      <c r="W277" s="18"/>
      <c r="Y277" s="41"/>
      <c r="Z277" s="14"/>
      <c r="AA277" s="14"/>
      <c r="AB277" s="14"/>
      <c r="AC277" s="14"/>
      <c r="AE277" s="31"/>
      <c r="AF277" s="10"/>
      <c r="AG277" s="10"/>
      <c r="AH277" s="10"/>
      <c r="AI277" s="42"/>
    </row>
    <row r="278" spans="1:35" hidden="1" outlineLevel="2">
      <c r="B278" s="4"/>
      <c r="D278" s="6"/>
      <c r="E278" s="57"/>
      <c r="G278" s="57"/>
      <c r="H278" s="57"/>
      <c r="J278" s="188"/>
      <c r="K278" s="71"/>
      <c r="L278" s="286"/>
      <c r="M278" s="286"/>
      <c r="N278" s="286"/>
      <c r="O278" s="133"/>
      <c r="P278" s="133"/>
      <c r="Q278" s="133"/>
      <c r="R278" s="121"/>
      <c r="S278" s="133"/>
      <c r="T278" s="10"/>
      <c r="V278" s="14"/>
      <c r="Y278" s="41"/>
      <c r="Z278" s="14"/>
      <c r="AA278" s="14"/>
      <c r="AB278" s="14"/>
      <c r="AC278" s="14"/>
      <c r="AE278" s="31"/>
      <c r="AF278" s="10"/>
      <c r="AG278" s="10"/>
      <c r="AH278" s="10"/>
      <c r="AI278" s="42"/>
    </row>
    <row r="279" spans="1:35" hidden="1" outlineLevel="2">
      <c r="B279" s="8"/>
      <c r="C279" s="9"/>
      <c r="D279" s="9"/>
      <c r="E279" s="59"/>
      <c r="F279" s="59"/>
      <c r="G279" s="59"/>
      <c r="H279" s="59"/>
      <c r="I279" s="59"/>
      <c r="J279" s="189"/>
      <c r="K279" s="134"/>
      <c r="L279" s="116"/>
      <c r="M279" s="116"/>
      <c r="N279" s="190"/>
      <c r="O279" s="145"/>
      <c r="P279" s="116"/>
      <c r="Q279" s="116"/>
      <c r="R279" s="114"/>
      <c r="S279" s="74"/>
      <c r="Y279" s="8"/>
      <c r="Z279" s="9"/>
      <c r="AA279" s="9"/>
      <c r="AB279" s="9"/>
      <c r="AC279" s="9"/>
      <c r="AD279" s="9"/>
      <c r="AE279" s="9"/>
      <c r="AF279" s="9"/>
      <c r="AG279" s="9"/>
      <c r="AH279" s="9"/>
      <c r="AI279" s="43"/>
    </row>
    <row r="280" spans="1:35" hidden="1" outlineLevel="2">
      <c r="J280" s="193"/>
      <c r="K280" s="194"/>
      <c r="L280" s="119"/>
      <c r="M280" s="119"/>
      <c r="N280" s="191"/>
      <c r="O280" s="128"/>
      <c r="P280" s="119"/>
      <c r="Q280" s="119"/>
      <c r="R280" s="129"/>
      <c r="S280" s="74"/>
    </row>
    <row r="281" spans="1:35" ht="13.5" hidden="1" outlineLevel="2" thickBot="1">
      <c r="J281" s="192"/>
      <c r="K281" s="153"/>
      <c r="L281" s="153"/>
      <c r="M281" s="153"/>
      <c r="N281" s="154"/>
      <c r="O281" s="74"/>
      <c r="P281" s="74"/>
      <c r="Q281" s="74"/>
      <c r="R281" s="74"/>
      <c r="S281" s="74"/>
    </row>
    <row r="282" spans="1:35" ht="13.5" hidden="1" outlineLevel="2" thickBot="1"/>
    <row r="283" spans="1:35" hidden="1" outlineLevel="2">
      <c r="A283" s="49"/>
      <c r="B283" s="1"/>
      <c r="C283" s="12"/>
      <c r="D283" s="12"/>
      <c r="E283" s="56"/>
      <c r="F283" s="56"/>
      <c r="G283" s="56"/>
      <c r="H283" s="56"/>
      <c r="I283" s="56"/>
      <c r="J283" s="179"/>
      <c r="K283" s="180"/>
      <c r="L283" s="180"/>
      <c r="M283" s="180"/>
      <c r="N283" s="181"/>
      <c r="O283" s="120"/>
      <c r="P283" s="56"/>
      <c r="Q283" s="56"/>
      <c r="R283" s="122"/>
      <c r="Y283" s="40"/>
      <c r="Z283" s="2"/>
      <c r="AA283" s="2"/>
      <c r="AB283" s="2"/>
      <c r="AC283" s="2"/>
      <c r="AD283" s="2"/>
      <c r="AE283" s="2"/>
      <c r="AF283" s="2"/>
      <c r="AG283" s="2"/>
      <c r="AH283" s="2"/>
      <c r="AI283" s="3"/>
    </row>
    <row r="284" spans="1:35" hidden="1" outlineLevel="2">
      <c r="B284" s="4"/>
      <c r="J284" s="182"/>
      <c r="K284" s="66"/>
      <c r="L284" s="66"/>
      <c r="M284" s="66"/>
      <c r="N284" s="183"/>
      <c r="O284" s="131"/>
      <c r="P284" s="66"/>
      <c r="Q284" s="66"/>
      <c r="R284" s="117"/>
      <c r="S284" s="66"/>
      <c r="Y284" s="4"/>
      <c r="AI284" s="5"/>
    </row>
    <row r="285" spans="1:35" hidden="1" outlineLevel="2">
      <c r="B285" s="4"/>
      <c r="D285" s="6"/>
      <c r="E285" s="57"/>
      <c r="F285" s="57"/>
      <c r="G285" s="57"/>
      <c r="H285" s="57"/>
      <c r="J285" s="184"/>
      <c r="K285" s="132"/>
      <c r="L285" s="147"/>
      <c r="M285" s="147"/>
      <c r="N285" s="185"/>
      <c r="O285" s="123"/>
      <c r="P285" s="132"/>
      <c r="Q285" s="132"/>
      <c r="R285" s="112"/>
      <c r="S285" s="132"/>
      <c r="Y285" s="4"/>
      <c r="AI285" s="5"/>
    </row>
    <row r="286" spans="1:35" hidden="1" outlineLevel="2">
      <c r="B286" s="4"/>
      <c r="D286" s="6"/>
      <c r="E286" s="57"/>
      <c r="F286" s="57"/>
      <c r="G286" s="57"/>
      <c r="H286" s="57"/>
      <c r="J286" s="186"/>
      <c r="N286" s="187"/>
      <c r="O286" s="131"/>
      <c r="P286" s="66"/>
      <c r="Q286" s="66"/>
      <c r="R286" s="111"/>
      <c r="Y286" s="4"/>
      <c r="AI286" s="5"/>
    </row>
    <row r="287" spans="1:35" hidden="1" outlineLevel="2">
      <c r="B287" s="4"/>
      <c r="J287" s="110"/>
      <c r="O287" s="131"/>
      <c r="P287" s="144"/>
      <c r="Q287" s="66"/>
      <c r="R287" s="146"/>
      <c r="Y287" s="4"/>
      <c r="AI287" s="5"/>
    </row>
    <row r="288" spans="1:35" hidden="1" outlineLevel="2">
      <c r="B288" s="4"/>
      <c r="J288" s="188"/>
      <c r="K288" s="71"/>
      <c r="L288" s="133"/>
      <c r="M288" s="133"/>
      <c r="N288" s="72"/>
      <c r="O288" s="113"/>
      <c r="P288" s="133"/>
      <c r="Q288" s="133"/>
      <c r="R288" s="121"/>
      <c r="S288" s="133"/>
      <c r="T288" s="10"/>
      <c r="V288" s="14"/>
      <c r="Y288" s="41"/>
      <c r="Z288" s="14"/>
      <c r="AA288" s="14"/>
      <c r="AB288" s="14"/>
      <c r="AC288" s="14"/>
      <c r="AE288" s="31"/>
      <c r="AF288" s="10"/>
      <c r="AG288" s="10"/>
      <c r="AH288" s="10"/>
      <c r="AI288" s="42"/>
    </row>
    <row r="289" spans="1:35" hidden="1" outlineLevel="2">
      <c r="B289" s="4"/>
      <c r="J289" s="188"/>
      <c r="K289" s="71"/>
      <c r="L289" s="133"/>
      <c r="M289" s="133"/>
      <c r="N289" s="72"/>
      <c r="O289" s="113"/>
      <c r="P289" s="133"/>
      <c r="Q289" s="133"/>
      <c r="R289" s="121"/>
      <c r="S289" s="133"/>
      <c r="T289" s="10"/>
      <c r="V289" s="14"/>
      <c r="W289" s="18"/>
      <c r="Y289" s="41"/>
      <c r="Z289" s="14"/>
      <c r="AA289" s="14"/>
      <c r="AB289" s="14"/>
      <c r="AC289" s="14"/>
      <c r="AE289" s="31"/>
      <c r="AF289" s="10"/>
      <c r="AG289" s="10"/>
      <c r="AH289" s="10"/>
      <c r="AI289" s="42"/>
    </row>
    <row r="290" spans="1:35" hidden="1" outlineLevel="2">
      <c r="B290" s="4"/>
      <c r="D290" s="6"/>
      <c r="E290" s="57"/>
      <c r="G290" s="57"/>
      <c r="H290" s="57"/>
      <c r="J290" s="188"/>
      <c r="K290" s="71"/>
      <c r="L290" s="133"/>
      <c r="M290" s="133"/>
      <c r="N290" s="72"/>
      <c r="O290" s="113"/>
      <c r="P290" s="133"/>
      <c r="Q290" s="133"/>
      <c r="R290" s="121"/>
      <c r="S290" s="133"/>
      <c r="T290" s="10"/>
      <c r="V290" s="14"/>
      <c r="Y290" s="41"/>
      <c r="Z290" s="14"/>
      <c r="AA290" s="14"/>
      <c r="AB290" s="14"/>
      <c r="AC290" s="14"/>
      <c r="AE290" s="31"/>
      <c r="AF290" s="10"/>
      <c r="AG290" s="10"/>
      <c r="AH290" s="10"/>
      <c r="AI290" s="42"/>
    </row>
    <row r="291" spans="1:35" hidden="1" outlineLevel="2">
      <c r="B291" s="8"/>
      <c r="C291" s="9"/>
      <c r="D291" s="9"/>
      <c r="E291" s="59"/>
      <c r="F291" s="59"/>
      <c r="G291" s="59"/>
      <c r="H291" s="59"/>
      <c r="I291" s="59"/>
      <c r="J291" s="189"/>
      <c r="K291" s="134"/>
      <c r="L291" s="116"/>
      <c r="M291" s="116"/>
      <c r="N291" s="190"/>
      <c r="O291" s="145"/>
      <c r="P291" s="116"/>
      <c r="Q291" s="116"/>
      <c r="R291" s="114"/>
      <c r="S291" s="74"/>
      <c r="Y291" s="8"/>
      <c r="Z291" s="9"/>
      <c r="AA291" s="9"/>
      <c r="AB291" s="9"/>
      <c r="AC291" s="9"/>
      <c r="AD291" s="9"/>
      <c r="AE291" s="9"/>
      <c r="AF291" s="9"/>
      <c r="AG291" s="9"/>
      <c r="AH291" s="9"/>
      <c r="AI291" s="43"/>
    </row>
    <row r="292" spans="1:35" hidden="1" outlineLevel="2">
      <c r="J292" s="193"/>
      <c r="K292" s="194"/>
      <c r="L292" s="119"/>
      <c r="M292" s="119"/>
      <c r="N292" s="191"/>
      <c r="O292" s="128"/>
      <c r="P292" s="119"/>
      <c r="Q292" s="119"/>
      <c r="R292" s="129"/>
      <c r="S292" s="74"/>
    </row>
    <row r="293" spans="1:35" ht="13.5" hidden="1" outlineLevel="2" thickBot="1">
      <c r="J293" s="192"/>
      <c r="K293" s="153"/>
      <c r="L293" s="153"/>
      <c r="M293" s="153"/>
      <c r="N293" s="154"/>
      <c r="O293" s="74"/>
      <c r="P293" s="74"/>
      <c r="Q293" s="74"/>
      <c r="R293" s="74"/>
      <c r="S293" s="74"/>
    </row>
    <row r="294" spans="1:35" ht="13.5" hidden="1" outlineLevel="2" thickBot="1"/>
    <row r="295" spans="1:35" hidden="1" outlineLevel="2">
      <c r="A295" s="49"/>
      <c r="B295" s="251"/>
      <c r="C295" s="34"/>
      <c r="D295" s="34"/>
      <c r="E295" s="56"/>
      <c r="F295" s="56"/>
      <c r="G295" s="56"/>
      <c r="H295" s="56"/>
      <c r="I295" s="56"/>
      <c r="J295" s="179"/>
      <c r="K295" s="180"/>
      <c r="L295" s="180"/>
      <c r="M295" s="180"/>
      <c r="N295" s="181"/>
      <c r="O295" s="120"/>
      <c r="P295" s="56"/>
      <c r="Q295" s="56"/>
      <c r="R295" s="122"/>
      <c r="Y295" s="40"/>
      <c r="Z295" s="2"/>
      <c r="AA295" s="2"/>
      <c r="AB295" s="2"/>
      <c r="AC295" s="2"/>
      <c r="AD295" s="2"/>
      <c r="AE295" s="2"/>
      <c r="AF295" s="2"/>
      <c r="AG295" s="2"/>
      <c r="AH295" s="2"/>
      <c r="AI295" s="3"/>
    </row>
    <row r="296" spans="1:35" hidden="1" outlineLevel="2">
      <c r="B296" s="4"/>
      <c r="J296" s="182"/>
      <c r="K296" s="66"/>
      <c r="L296" s="66"/>
      <c r="M296" s="66"/>
      <c r="N296" s="183"/>
      <c r="O296" s="131"/>
      <c r="P296" s="66"/>
      <c r="Q296" s="66"/>
      <c r="R296" s="117"/>
      <c r="S296" s="66"/>
      <c r="Y296" s="4"/>
      <c r="AI296" s="5"/>
    </row>
    <row r="297" spans="1:35" hidden="1" outlineLevel="2">
      <c r="B297" s="4"/>
      <c r="D297" s="6"/>
      <c r="E297" s="57"/>
      <c r="F297" s="57"/>
      <c r="G297" s="57"/>
      <c r="H297" s="57"/>
      <c r="J297" s="184"/>
      <c r="K297" s="132"/>
      <c r="L297" s="147"/>
      <c r="M297" s="147"/>
      <c r="N297" s="185"/>
      <c r="O297" s="123"/>
      <c r="P297" s="132"/>
      <c r="Q297" s="132"/>
      <c r="R297" s="112"/>
      <c r="S297" s="132"/>
      <c r="Y297" s="4"/>
      <c r="AI297" s="5"/>
    </row>
    <row r="298" spans="1:35" hidden="1" outlineLevel="2">
      <c r="B298" s="4"/>
      <c r="D298" s="6"/>
      <c r="E298" s="57"/>
      <c r="F298" s="57"/>
      <c r="G298" s="57"/>
      <c r="H298" s="57"/>
      <c r="J298" s="186"/>
      <c r="N298" s="187"/>
      <c r="O298" s="131"/>
      <c r="P298" s="66"/>
      <c r="Q298" s="66"/>
      <c r="R298" s="111"/>
      <c r="Y298" s="4"/>
      <c r="AI298" s="5"/>
    </row>
    <row r="299" spans="1:35" hidden="1" outlineLevel="2">
      <c r="B299" s="4"/>
      <c r="J299" s="110"/>
      <c r="O299" s="131"/>
      <c r="P299" s="144"/>
      <c r="Q299" s="66"/>
      <c r="R299" s="146"/>
      <c r="Y299" s="4"/>
      <c r="AI299" s="5"/>
    </row>
    <row r="300" spans="1:35" hidden="1" outlineLevel="2">
      <c r="B300" s="4"/>
      <c r="J300" s="188"/>
      <c r="K300" s="71"/>
      <c r="L300" s="133"/>
      <c r="M300" s="133"/>
      <c r="N300" s="72"/>
      <c r="O300" s="113"/>
      <c r="P300" s="133"/>
      <c r="Q300" s="133"/>
      <c r="R300" s="121"/>
      <c r="S300" s="133"/>
      <c r="T300" s="10"/>
      <c r="V300" s="14"/>
      <c r="Y300" s="41"/>
      <c r="Z300" s="14"/>
      <c r="AA300" s="14"/>
      <c r="AB300" s="14"/>
      <c r="AC300" s="14"/>
      <c r="AE300" s="31"/>
      <c r="AF300" s="10"/>
      <c r="AG300" s="10"/>
      <c r="AH300" s="10"/>
      <c r="AI300" s="42"/>
    </row>
    <row r="301" spans="1:35" hidden="1" outlineLevel="2">
      <c r="B301" s="4"/>
      <c r="J301" s="188"/>
      <c r="K301" s="71"/>
      <c r="L301" s="133"/>
      <c r="M301" s="133"/>
      <c r="N301" s="72"/>
      <c r="O301" s="113"/>
      <c r="P301" s="133"/>
      <c r="Q301" s="133"/>
      <c r="R301" s="121"/>
      <c r="S301" s="133"/>
      <c r="T301" s="10"/>
      <c r="V301" s="14"/>
      <c r="W301" s="18"/>
      <c r="Y301" s="41"/>
      <c r="Z301" s="14"/>
      <c r="AA301" s="14"/>
      <c r="AB301" s="14"/>
      <c r="AC301" s="14"/>
      <c r="AE301" s="31"/>
      <c r="AF301" s="10"/>
      <c r="AG301" s="10"/>
      <c r="AH301" s="10"/>
      <c r="AI301" s="42"/>
    </row>
    <row r="302" spans="1:35" hidden="1" outlineLevel="2">
      <c r="B302" s="4"/>
      <c r="D302" s="6"/>
      <c r="E302" s="57"/>
      <c r="G302" s="57"/>
      <c r="H302" s="57"/>
      <c r="J302" s="188"/>
      <c r="K302" s="71"/>
      <c r="L302" s="133"/>
      <c r="M302" s="133"/>
      <c r="N302" s="72"/>
      <c r="O302" s="113"/>
      <c r="P302" s="133"/>
      <c r="Q302" s="133"/>
      <c r="R302" s="121"/>
      <c r="S302" s="133"/>
      <c r="T302" s="10"/>
      <c r="V302" s="14"/>
      <c r="Y302" s="41"/>
      <c r="Z302" s="14"/>
      <c r="AA302" s="14"/>
      <c r="AB302" s="14"/>
      <c r="AC302" s="14"/>
      <c r="AE302" s="31"/>
      <c r="AF302" s="10"/>
      <c r="AG302" s="10"/>
      <c r="AH302" s="10"/>
      <c r="AI302" s="42"/>
    </row>
    <row r="303" spans="1:35" hidden="1" outlineLevel="2">
      <c r="B303" s="8"/>
      <c r="C303" s="9"/>
      <c r="D303" s="9"/>
      <c r="E303" s="59"/>
      <c r="F303" s="59"/>
      <c r="G303" s="59"/>
      <c r="H303" s="59"/>
      <c r="I303" s="59"/>
      <c r="J303" s="189"/>
      <c r="K303" s="134"/>
      <c r="L303" s="116"/>
      <c r="M303" s="116"/>
      <c r="N303" s="190"/>
      <c r="O303" s="145"/>
      <c r="P303" s="116"/>
      <c r="Q303" s="116"/>
      <c r="R303" s="114"/>
      <c r="S303" s="74"/>
      <c r="Y303" s="8"/>
      <c r="Z303" s="9"/>
      <c r="AA303" s="9"/>
      <c r="AB303" s="9"/>
      <c r="AC303" s="9"/>
      <c r="AD303" s="9"/>
      <c r="AE303" s="9"/>
      <c r="AF303" s="9"/>
      <c r="AG303" s="9"/>
      <c r="AH303" s="9"/>
      <c r="AI303" s="43"/>
    </row>
    <row r="304" spans="1:35" hidden="1" outlineLevel="2">
      <c r="B304" s="4"/>
      <c r="J304" s="193"/>
      <c r="K304" s="194"/>
      <c r="L304" s="119"/>
      <c r="M304" s="119"/>
      <c r="N304" s="191"/>
      <c r="O304" s="128"/>
      <c r="P304" s="119"/>
      <c r="Q304" s="119"/>
      <c r="R304" s="129"/>
      <c r="S304" s="74"/>
    </row>
    <row r="305" spans="1:35" ht="13.5" hidden="1" outlineLevel="2" thickBot="1">
      <c r="J305" s="192"/>
      <c r="K305" s="153"/>
      <c r="L305" s="153"/>
      <c r="M305" s="153"/>
      <c r="N305" s="154"/>
      <c r="O305" s="74"/>
      <c r="P305" s="74"/>
      <c r="Q305" s="74"/>
      <c r="R305" s="74"/>
      <c r="S305" s="74"/>
    </row>
    <row r="306" spans="1:35" ht="13.5" hidden="1" outlineLevel="2" thickBot="1">
      <c r="J306" s="61"/>
    </row>
    <row r="307" spans="1:35" hidden="1" outlineLevel="2">
      <c r="A307" s="49"/>
      <c r="B307" s="33"/>
      <c r="C307" s="34"/>
      <c r="D307" s="34"/>
      <c r="E307" s="56"/>
      <c r="F307" s="56"/>
      <c r="G307" s="56"/>
      <c r="H307" s="56"/>
      <c r="I307" s="56"/>
      <c r="J307" s="179"/>
      <c r="K307" s="180"/>
      <c r="L307" s="180"/>
      <c r="M307" s="180"/>
      <c r="N307" s="181"/>
      <c r="O307" s="120"/>
      <c r="P307" s="56"/>
      <c r="Q307" s="56"/>
      <c r="R307" s="122"/>
      <c r="Y307" s="40"/>
      <c r="Z307" s="2"/>
      <c r="AA307" s="2"/>
      <c r="AB307" s="2"/>
      <c r="AC307" s="2"/>
      <c r="AD307" s="2"/>
      <c r="AE307" s="2"/>
      <c r="AF307" s="2"/>
      <c r="AG307" s="2"/>
      <c r="AH307" s="2"/>
      <c r="AI307" s="3"/>
    </row>
    <row r="308" spans="1:35" hidden="1" outlineLevel="2">
      <c r="B308" s="4"/>
      <c r="J308" s="182"/>
      <c r="K308" s="66"/>
      <c r="L308" s="66"/>
      <c r="M308" s="66"/>
      <c r="N308" s="183"/>
      <c r="O308" s="131"/>
      <c r="P308" s="66"/>
      <c r="Q308" s="66"/>
      <c r="R308" s="117"/>
      <c r="S308" s="66"/>
      <c r="Y308" s="4"/>
      <c r="AI308" s="5"/>
    </row>
    <row r="309" spans="1:35" hidden="1" outlineLevel="2">
      <c r="B309" s="4"/>
      <c r="D309" s="6"/>
      <c r="E309" s="57"/>
      <c r="F309" s="57"/>
      <c r="G309" s="57"/>
      <c r="H309" s="57"/>
      <c r="J309" s="184"/>
      <c r="K309" s="132"/>
      <c r="L309" s="147"/>
      <c r="M309" s="147"/>
      <c r="N309" s="185"/>
      <c r="O309" s="123"/>
      <c r="P309" s="132"/>
      <c r="Q309" s="132"/>
      <c r="R309" s="112"/>
      <c r="S309" s="132"/>
      <c r="Y309" s="4"/>
      <c r="AI309" s="5"/>
    </row>
    <row r="310" spans="1:35" hidden="1" outlineLevel="2">
      <c r="B310" s="4"/>
      <c r="D310" s="6"/>
      <c r="E310" s="57"/>
      <c r="F310" s="57"/>
      <c r="G310" s="57"/>
      <c r="H310" s="57"/>
      <c r="J310" s="186"/>
      <c r="N310" s="187"/>
      <c r="O310" s="131"/>
      <c r="P310" s="66"/>
      <c r="Q310" s="66"/>
      <c r="R310" s="111"/>
      <c r="Y310" s="4"/>
      <c r="AI310" s="5"/>
    </row>
    <row r="311" spans="1:35" hidden="1" outlineLevel="2">
      <c r="B311" s="4"/>
      <c r="J311" s="110"/>
      <c r="O311" s="131"/>
      <c r="P311" s="144"/>
      <c r="Q311" s="66"/>
      <c r="R311" s="146"/>
      <c r="Y311" s="4"/>
      <c r="AI311" s="5"/>
    </row>
    <row r="312" spans="1:35" hidden="1" outlineLevel="2">
      <c r="B312" s="4"/>
      <c r="D312" s="10"/>
      <c r="E312" s="58"/>
      <c r="F312" s="58"/>
      <c r="G312" s="58"/>
      <c r="H312" s="58"/>
      <c r="J312" s="188"/>
      <c r="K312" s="71"/>
      <c r="L312" s="133"/>
      <c r="M312" s="133"/>
      <c r="N312" s="72"/>
      <c r="O312" s="113"/>
      <c r="P312" s="133"/>
      <c r="Q312" s="133"/>
      <c r="R312" s="121"/>
      <c r="S312" s="133"/>
      <c r="T312" s="10"/>
      <c r="V312" s="14"/>
      <c r="Y312" s="41"/>
      <c r="Z312" s="14"/>
      <c r="AA312" s="14"/>
      <c r="AB312" s="14"/>
      <c r="AC312" s="14"/>
      <c r="AE312" s="31"/>
      <c r="AF312" s="10"/>
      <c r="AG312" s="10"/>
      <c r="AH312" s="10"/>
      <c r="AI312" s="42"/>
    </row>
    <row r="313" spans="1:35" hidden="1" outlineLevel="2">
      <c r="B313" s="4"/>
      <c r="J313" s="188"/>
      <c r="K313" s="71"/>
      <c r="L313" s="133"/>
      <c r="M313" s="133"/>
      <c r="N313" s="72"/>
      <c r="O313" s="113"/>
      <c r="P313" s="133"/>
      <c r="Q313" s="133"/>
      <c r="R313" s="121"/>
      <c r="S313" s="133"/>
      <c r="T313" s="10"/>
      <c r="V313" s="14"/>
      <c r="W313" s="18"/>
      <c r="Y313" s="41"/>
      <c r="Z313" s="14"/>
      <c r="AA313" s="14"/>
      <c r="AB313" s="14"/>
      <c r="AC313" s="14"/>
      <c r="AE313" s="31"/>
      <c r="AF313" s="10"/>
      <c r="AG313" s="10"/>
      <c r="AH313" s="10"/>
      <c r="AI313" s="42"/>
    </row>
    <row r="314" spans="1:35" hidden="1" outlineLevel="2">
      <c r="B314" s="4"/>
      <c r="D314" s="6"/>
      <c r="E314" s="57"/>
      <c r="G314" s="57"/>
      <c r="H314" s="57"/>
      <c r="J314" s="188"/>
      <c r="K314" s="71"/>
      <c r="L314" s="133"/>
      <c r="M314" s="133"/>
      <c r="N314" s="72"/>
      <c r="O314" s="113"/>
      <c r="P314" s="133"/>
      <c r="Q314" s="133"/>
      <c r="R314" s="121"/>
      <c r="S314" s="133"/>
      <c r="T314" s="10"/>
      <c r="V314" s="14"/>
      <c r="Y314" s="41"/>
      <c r="Z314" s="14"/>
      <c r="AA314" s="14"/>
      <c r="AB314" s="14"/>
      <c r="AC314" s="14"/>
      <c r="AE314" s="31"/>
      <c r="AF314" s="10"/>
      <c r="AG314" s="10"/>
      <c r="AH314" s="10"/>
      <c r="AI314" s="42"/>
    </row>
    <row r="315" spans="1:35" hidden="1" outlineLevel="2">
      <c r="B315" s="8"/>
      <c r="C315" s="9"/>
      <c r="D315" s="9"/>
      <c r="E315" s="59"/>
      <c r="F315" s="59"/>
      <c r="G315" s="59"/>
      <c r="H315" s="59"/>
      <c r="I315" s="59"/>
      <c r="J315" s="189"/>
      <c r="K315" s="134"/>
      <c r="L315" s="116"/>
      <c r="M315" s="116"/>
      <c r="N315" s="190"/>
      <c r="O315" s="145"/>
      <c r="P315" s="116"/>
      <c r="Q315" s="116"/>
      <c r="R315" s="114"/>
      <c r="S315" s="74"/>
      <c r="Y315" s="8"/>
      <c r="Z315" s="9"/>
      <c r="AA315" s="9"/>
      <c r="AB315" s="9"/>
      <c r="AC315" s="9"/>
      <c r="AD315" s="9"/>
      <c r="AE315" s="9"/>
      <c r="AF315" s="9"/>
      <c r="AG315" s="9"/>
      <c r="AH315" s="9"/>
      <c r="AI315" s="43"/>
    </row>
    <row r="316" spans="1:35" hidden="1" outlineLevel="2">
      <c r="J316" s="193"/>
      <c r="K316" s="194"/>
      <c r="L316" s="119"/>
      <c r="M316" s="119"/>
      <c r="N316" s="191"/>
      <c r="O316" s="128"/>
      <c r="P316" s="119"/>
      <c r="Q316" s="119"/>
      <c r="R316" s="129"/>
      <c r="S316" s="74"/>
    </row>
    <row r="317" spans="1:35" ht="13.5" hidden="1" outlineLevel="2" thickBot="1">
      <c r="J317" s="192"/>
      <c r="K317" s="153"/>
      <c r="L317" s="153"/>
      <c r="M317" s="153"/>
      <c r="N317" s="154"/>
      <c r="O317" s="74"/>
      <c r="P317" s="74"/>
      <c r="Q317" s="74"/>
      <c r="R317" s="74"/>
      <c r="S317" s="74"/>
    </row>
    <row r="318" spans="1:35" ht="13.5" hidden="1" outlineLevel="2" thickBot="1">
      <c r="J318" s="61"/>
    </row>
    <row r="319" spans="1:35" hidden="1" outlineLevel="2">
      <c r="A319" s="49"/>
      <c r="B319" s="33"/>
      <c r="C319" s="34"/>
      <c r="D319" s="34"/>
      <c r="E319" s="56"/>
      <c r="F319" s="56"/>
      <c r="G319" s="56"/>
      <c r="H319" s="56"/>
      <c r="I319" s="56"/>
      <c r="J319" s="179"/>
      <c r="K319" s="180"/>
      <c r="L319" s="180"/>
      <c r="M319" s="180"/>
      <c r="N319" s="181"/>
      <c r="O319" s="120"/>
      <c r="P319" s="56"/>
      <c r="Q319" s="56"/>
      <c r="R319" s="122"/>
      <c r="Y319" s="40"/>
      <c r="Z319" s="2"/>
      <c r="AA319" s="2"/>
      <c r="AB319" s="2"/>
      <c r="AC319" s="2"/>
      <c r="AD319" s="2"/>
      <c r="AE319" s="2"/>
      <c r="AF319" s="2"/>
      <c r="AG319" s="2"/>
      <c r="AH319" s="2"/>
      <c r="AI319" s="3"/>
    </row>
    <row r="320" spans="1:35" hidden="1" outlineLevel="2">
      <c r="B320" s="4"/>
      <c r="J320" s="182"/>
      <c r="K320" s="66"/>
      <c r="L320" s="66"/>
      <c r="M320" s="66"/>
      <c r="N320" s="183"/>
      <c r="O320" s="131"/>
      <c r="P320" s="66"/>
      <c r="Q320" s="66"/>
      <c r="R320" s="117"/>
      <c r="S320" s="66"/>
      <c r="Y320" s="4"/>
      <c r="AI320" s="5"/>
    </row>
    <row r="321" spans="1:35" hidden="1" outlineLevel="2">
      <c r="B321" s="4"/>
      <c r="D321" s="6"/>
      <c r="E321" s="57"/>
      <c r="F321" s="57"/>
      <c r="G321" s="57"/>
      <c r="H321" s="57"/>
      <c r="J321" s="184"/>
      <c r="K321" s="132"/>
      <c r="L321" s="147"/>
      <c r="M321" s="147"/>
      <c r="N321" s="185"/>
      <c r="O321" s="123"/>
      <c r="P321" s="132"/>
      <c r="Q321" s="132"/>
      <c r="R321" s="112"/>
      <c r="S321" s="132"/>
      <c r="Y321" s="4"/>
      <c r="AI321" s="5"/>
    </row>
    <row r="322" spans="1:35" hidden="1" outlineLevel="2">
      <c r="B322" s="4"/>
      <c r="D322" s="6"/>
      <c r="E322" s="57"/>
      <c r="F322" s="57"/>
      <c r="G322" s="57"/>
      <c r="H322" s="57"/>
      <c r="J322" s="186"/>
      <c r="N322" s="187"/>
      <c r="O322" s="131"/>
      <c r="P322" s="66"/>
      <c r="Q322" s="66"/>
      <c r="R322" s="111"/>
      <c r="Y322" s="4"/>
      <c r="AI322" s="5"/>
    </row>
    <row r="323" spans="1:35" hidden="1" outlineLevel="2">
      <c r="B323" s="4"/>
      <c r="J323" s="110"/>
      <c r="O323" s="131"/>
      <c r="P323" s="144"/>
      <c r="Q323" s="66"/>
      <c r="R323" s="146"/>
      <c r="Y323" s="4"/>
      <c r="AI323" s="5"/>
    </row>
    <row r="324" spans="1:35" hidden="1" outlineLevel="2">
      <c r="B324" s="4"/>
      <c r="J324" s="188"/>
      <c r="K324" s="71"/>
      <c r="L324" s="133"/>
      <c r="M324" s="133"/>
      <c r="N324" s="72"/>
      <c r="O324" s="113"/>
      <c r="P324" s="133"/>
      <c r="Q324" s="133"/>
      <c r="R324" s="121"/>
      <c r="S324" s="133"/>
      <c r="T324" s="10"/>
      <c r="V324" s="14"/>
      <c r="Y324" s="41"/>
      <c r="Z324" s="14"/>
      <c r="AA324" s="14"/>
      <c r="AB324" s="14"/>
      <c r="AC324" s="14"/>
      <c r="AE324" s="31"/>
      <c r="AF324" s="10"/>
      <c r="AG324" s="10"/>
      <c r="AH324" s="10"/>
      <c r="AI324" s="42"/>
    </row>
    <row r="325" spans="1:35" hidden="1" outlineLevel="2">
      <c r="B325" s="4"/>
      <c r="J325" s="188"/>
      <c r="K325" s="71"/>
      <c r="L325" s="133"/>
      <c r="M325" s="133"/>
      <c r="N325" s="72"/>
      <c r="O325" s="113"/>
      <c r="P325" s="133"/>
      <c r="Q325" s="133"/>
      <c r="R325" s="121"/>
      <c r="S325" s="133"/>
      <c r="T325" s="10"/>
      <c r="V325" s="14"/>
      <c r="W325" s="18"/>
      <c r="Y325" s="41"/>
      <c r="Z325" s="14"/>
      <c r="AA325" s="14"/>
      <c r="AB325" s="14"/>
      <c r="AC325" s="14"/>
      <c r="AE325" s="31"/>
      <c r="AF325" s="10"/>
      <c r="AG325" s="10"/>
      <c r="AH325" s="10"/>
      <c r="AI325" s="42"/>
    </row>
    <row r="326" spans="1:35" hidden="1" outlineLevel="2">
      <c r="B326" s="4"/>
      <c r="D326" s="6"/>
      <c r="E326" s="57"/>
      <c r="G326" s="57"/>
      <c r="H326" s="57"/>
      <c r="J326" s="188"/>
      <c r="K326" s="71"/>
      <c r="L326" s="133"/>
      <c r="M326" s="133"/>
      <c r="N326" s="72"/>
      <c r="O326" s="113"/>
      <c r="P326" s="133"/>
      <c r="Q326" s="133"/>
      <c r="R326" s="121"/>
      <c r="S326" s="133"/>
      <c r="T326" s="10"/>
      <c r="V326" s="14"/>
      <c r="Y326" s="41"/>
      <c r="Z326" s="14"/>
      <c r="AA326" s="14"/>
      <c r="AB326" s="14"/>
      <c r="AC326" s="14"/>
      <c r="AE326" s="31"/>
      <c r="AF326" s="10"/>
      <c r="AG326" s="10"/>
      <c r="AH326" s="10"/>
      <c r="AI326" s="42"/>
    </row>
    <row r="327" spans="1:35" hidden="1" outlineLevel="2">
      <c r="B327" s="8"/>
      <c r="C327" s="9"/>
      <c r="D327" s="9"/>
      <c r="E327" s="59"/>
      <c r="F327" s="59"/>
      <c r="G327" s="59"/>
      <c r="H327" s="59"/>
      <c r="I327" s="59"/>
      <c r="J327" s="189"/>
      <c r="K327" s="134"/>
      <c r="L327" s="116"/>
      <c r="M327" s="116"/>
      <c r="N327" s="190"/>
      <c r="O327" s="145"/>
      <c r="P327" s="116"/>
      <c r="Q327" s="116"/>
      <c r="R327" s="114"/>
      <c r="S327" s="74"/>
      <c r="Y327" s="8"/>
      <c r="Z327" s="9"/>
      <c r="AA327" s="9"/>
      <c r="AB327" s="9"/>
      <c r="AC327" s="9"/>
      <c r="AD327" s="9"/>
      <c r="AE327" s="9"/>
      <c r="AF327" s="9"/>
      <c r="AG327" s="9"/>
      <c r="AH327" s="9"/>
      <c r="AI327" s="43"/>
    </row>
    <row r="328" spans="1:35" hidden="1" outlineLevel="2">
      <c r="J328" s="193"/>
      <c r="K328" s="194"/>
      <c r="L328" s="119"/>
      <c r="M328" s="119"/>
      <c r="N328" s="191"/>
      <c r="O328" s="128"/>
      <c r="P328" s="119"/>
      <c r="Q328" s="119"/>
      <c r="R328" s="129"/>
      <c r="S328" s="74"/>
    </row>
    <row r="329" spans="1:35" ht="13.5" hidden="1" outlineLevel="2" thickBot="1">
      <c r="J329" s="192"/>
      <c r="K329" s="153"/>
      <c r="L329" s="153"/>
      <c r="M329" s="153"/>
      <c r="N329" s="154"/>
      <c r="O329" s="74"/>
      <c r="P329" s="74"/>
      <c r="Q329" s="74"/>
      <c r="R329" s="74"/>
      <c r="S329" s="74"/>
    </row>
    <row r="330" spans="1:35" ht="13.5" hidden="1" outlineLevel="2" thickBot="1">
      <c r="J330" s="61"/>
    </row>
    <row r="331" spans="1:35" hidden="1" outlineLevel="2">
      <c r="A331" s="49"/>
      <c r="B331" s="33"/>
      <c r="C331" s="34"/>
      <c r="D331" s="34"/>
      <c r="E331" s="56"/>
      <c r="F331" s="56"/>
      <c r="G331" s="56"/>
      <c r="H331" s="56"/>
      <c r="I331" s="56"/>
      <c r="J331" s="179"/>
      <c r="K331" s="180"/>
      <c r="L331" s="180"/>
      <c r="M331" s="180"/>
      <c r="N331" s="181"/>
      <c r="Y331" s="40"/>
      <c r="Z331" s="2"/>
      <c r="AA331" s="2"/>
      <c r="AB331" s="2"/>
      <c r="AC331" s="2"/>
      <c r="AD331" s="2"/>
      <c r="AE331" s="2"/>
      <c r="AF331" s="2"/>
      <c r="AG331" s="2"/>
      <c r="AH331" s="2"/>
      <c r="AI331" s="3"/>
    </row>
    <row r="332" spans="1:35" hidden="1" outlineLevel="2">
      <c r="B332" s="4"/>
      <c r="J332" s="182"/>
      <c r="K332" s="66"/>
      <c r="L332" s="66"/>
      <c r="M332" s="66"/>
      <c r="N332" s="183"/>
      <c r="O332" s="66"/>
      <c r="P332" s="66"/>
      <c r="Q332" s="66"/>
      <c r="R332" s="66"/>
      <c r="S332" s="66"/>
      <c r="Y332" s="4"/>
      <c r="AI332" s="5"/>
    </row>
    <row r="333" spans="1:35" hidden="1" outlineLevel="2">
      <c r="B333" s="4"/>
      <c r="D333" s="6"/>
      <c r="E333" s="57"/>
      <c r="F333" s="57"/>
      <c r="G333" s="57"/>
      <c r="H333" s="57"/>
      <c r="J333" s="184"/>
      <c r="K333" s="132"/>
      <c r="L333" s="147"/>
      <c r="M333" s="147"/>
      <c r="N333" s="185"/>
      <c r="O333" s="120"/>
      <c r="P333" s="56"/>
      <c r="Q333" s="56"/>
      <c r="R333" s="122"/>
      <c r="Y333" s="4"/>
      <c r="AI333" s="5"/>
    </row>
    <row r="334" spans="1:35" s="7" customFormat="1" hidden="1" outlineLevel="2">
      <c r="B334" s="36"/>
      <c r="C334" s="37"/>
      <c r="D334" s="11"/>
      <c r="E334" s="57"/>
      <c r="F334" s="57"/>
      <c r="G334" s="57"/>
      <c r="H334" s="57"/>
      <c r="I334" s="13"/>
      <c r="J334" s="186"/>
      <c r="K334" s="13"/>
      <c r="L334" s="13"/>
      <c r="M334" s="13"/>
      <c r="N334" s="187"/>
      <c r="O334" s="131"/>
      <c r="P334" s="66"/>
      <c r="Q334" s="66"/>
      <c r="R334" s="117"/>
      <c r="S334" s="66"/>
      <c r="W334" s="39"/>
      <c r="X334" s="39"/>
      <c r="Y334" s="36"/>
      <c r="AI334" s="38"/>
    </row>
    <row r="335" spans="1:35" s="7" customFormat="1" hidden="1" outlineLevel="2">
      <c r="B335" s="36"/>
      <c r="C335" s="37"/>
      <c r="D335" s="11"/>
      <c r="E335" s="57"/>
      <c r="F335" s="57"/>
      <c r="G335" s="57"/>
      <c r="H335" s="57"/>
      <c r="I335" s="13"/>
      <c r="J335" s="123"/>
      <c r="K335" s="132"/>
      <c r="L335" s="132"/>
      <c r="M335" s="147"/>
      <c r="O335" s="123"/>
      <c r="P335" s="132"/>
      <c r="Q335" s="132"/>
      <c r="R335" s="112"/>
      <c r="S335" s="132"/>
      <c r="W335" s="39"/>
      <c r="X335" s="39"/>
      <c r="Y335" s="36"/>
      <c r="AI335" s="38"/>
    </row>
    <row r="336" spans="1:35" hidden="1" outlineLevel="2">
      <c r="B336" s="4"/>
      <c r="C336" s="35"/>
      <c r="D336" s="6"/>
      <c r="E336" s="57"/>
      <c r="F336" s="57"/>
      <c r="G336" s="57"/>
      <c r="H336" s="57"/>
      <c r="J336" s="110"/>
      <c r="O336" s="131"/>
      <c r="P336" s="66"/>
      <c r="Q336" s="66"/>
      <c r="R336" s="111"/>
      <c r="Y336" s="4"/>
      <c r="AI336" s="5"/>
    </row>
    <row r="337" spans="1:35" hidden="1" outlineLevel="2">
      <c r="B337" s="4"/>
      <c r="J337" s="110"/>
      <c r="O337" s="131"/>
      <c r="P337" s="144"/>
      <c r="Q337" s="66"/>
      <c r="R337" s="146"/>
      <c r="Y337" s="4"/>
      <c r="AI337" s="5"/>
    </row>
    <row r="338" spans="1:35" hidden="1" outlineLevel="2">
      <c r="B338" s="4"/>
      <c r="J338" s="188"/>
      <c r="K338" s="71"/>
      <c r="L338" s="133"/>
      <c r="M338" s="133"/>
      <c r="N338" s="72"/>
      <c r="O338" s="113"/>
      <c r="P338" s="133"/>
      <c r="Q338" s="133"/>
      <c r="R338" s="121"/>
      <c r="S338" s="133"/>
      <c r="T338" s="10"/>
      <c r="V338" s="14"/>
      <c r="Y338" s="41"/>
      <c r="Z338" s="14"/>
      <c r="AA338" s="14"/>
      <c r="AB338" s="14"/>
      <c r="AC338" s="14"/>
      <c r="AE338" s="31"/>
      <c r="AF338" s="10"/>
      <c r="AG338" s="10"/>
      <c r="AH338" s="10"/>
      <c r="AI338" s="42"/>
    </row>
    <row r="339" spans="1:35" hidden="1" outlineLevel="2">
      <c r="B339" s="4"/>
      <c r="J339" s="188"/>
      <c r="K339" s="71"/>
      <c r="L339" s="133"/>
      <c r="M339" s="133"/>
      <c r="N339" s="72"/>
      <c r="O339" s="113"/>
      <c r="P339" s="133"/>
      <c r="Q339" s="133"/>
      <c r="R339" s="121"/>
      <c r="S339" s="133"/>
      <c r="T339" s="10"/>
      <c r="V339" s="14"/>
      <c r="W339" s="18"/>
      <c r="Y339" s="41"/>
      <c r="Z339" s="14"/>
      <c r="AA339" s="14"/>
      <c r="AB339" s="14"/>
      <c r="AC339" s="14"/>
      <c r="AE339" s="31"/>
      <c r="AF339" s="10"/>
      <c r="AG339" s="10"/>
      <c r="AH339" s="10"/>
      <c r="AI339" s="42"/>
    </row>
    <row r="340" spans="1:35" hidden="1" outlineLevel="2">
      <c r="B340" s="4"/>
      <c r="D340" s="6"/>
      <c r="E340" s="57"/>
      <c r="G340" s="57"/>
      <c r="H340" s="62"/>
      <c r="J340" s="188"/>
      <c r="K340" s="71"/>
      <c r="L340" s="133"/>
      <c r="M340" s="133"/>
      <c r="N340" s="72"/>
      <c r="O340" s="113"/>
      <c r="P340" s="133"/>
      <c r="Q340" s="133"/>
      <c r="R340" s="121"/>
      <c r="S340" s="133"/>
      <c r="T340" s="10"/>
      <c r="V340" s="14"/>
      <c r="Y340" s="41"/>
      <c r="Z340" s="14"/>
      <c r="AA340" s="14"/>
      <c r="AB340" s="14"/>
      <c r="AC340" s="14"/>
      <c r="AE340" s="31"/>
      <c r="AF340" s="10"/>
      <c r="AG340" s="10"/>
      <c r="AH340" s="10"/>
      <c r="AI340" s="42"/>
    </row>
    <row r="341" spans="1:35" hidden="1" outlineLevel="2">
      <c r="B341" s="8"/>
      <c r="C341" s="9"/>
      <c r="D341" s="9"/>
      <c r="E341" s="59"/>
      <c r="F341" s="59"/>
      <c r="G341" s="59"/>
      <c r="H341" s="63"/>
      <c r="I341" s="59"/>
      <c r="J341" s="189"/>
      <c r="K341" s="134"/>
      <c r="L341" s="116"/>
      <c r="M341" s="116"/>
      <c r="N341" s="190"/>
      <c r="O341" s="145"/>
      <c r="P341" s="116"/>
      <c r="Q341" s="116"/>
      <c r="R341" s="114"/>
      <c r="S341" s="74"/>
      <c r="Y341" s="8"/>
      <c r="Z341" s="9"/>
      <c r="AA341" s="9"/>
      <c r="AB341" s="9"/>
      <c r="AC341" s="9"/>
      <c r="AD341" s="9"/>
      <c r="AE341" s="9"/>
      <c r="AF341" s="9"/>
      <c r="AG341" s="9"/>
      <c r="AH341" s="9"/>
      <c r="AI341" s="43"/>
    </row>
    <row r="342" spans="1:35" hidden="1" outlineLevel="2">
      <c r="J342" s="193"/>
      <c r="K342" s="194"/>
      <c r="L342" s="119"/>
      <c r="M342" s="119"/>
      <c r="N342" s="191"/>
      <c r="O342" s="128"/>
      <c r="P342" s="119"/>
      <c r="Q342" s="119"/>
      <c r="R342" s="129"/>
      <c r="S342" s="74"/>
    </row>
    <row r="343" spans="1:35" ht="13.5" hidden="1" outlineLevel="2" thickBot="1">
      <c r="J343" s="192"/>
      <c r="K343" s="153"/>
      <c r="L343" s="153"/>
      <c r="M343" s="153"/>
      <c r="N343" s="154"/>
      <c r="O343" s="74"/>
      <c r="P343" s="74"/>
      <c r="Q343" s="74"/>
      <c r="R343" s="74"/>
      <c r="S343" s="74"/>
    </row>
    <row r="344" spans="1:35" ht="13.5" hidden="1" outlineLevel="2" thickBot="1">
      <c r="J344" s="61"/>
    </row>
    <row r="345" spans="1:35" hidden="1" outlineLevel="2">
      <c r="A345" s="49"/>
      <c r="B345" s="251"/>
      <c r="C345" s="34"/>
      <c r="D345" s="34"/>
      <c r="E345" s="56"/>
      <c r="F345" s="56"/>
      <c r="G345" s="56"/>
      <c r="H345" s="56"/>
      <c r="I345" s="56"/>
      <c r="J345" s="179"/>
      <c r="K345" s="180"/>
      <c r="L345" s="180"/>
      <c r="M345" s="180"/>
      <c r="N345" s="181"/>
      <c r="O345" s="120"/>
      <c r="P345" s="56"/>
      <c r="Q345" s="56"/>
      <c r="R345" s="122"/>
      <c r="Y345" s="40"/>
      <c r="Z345" s="2"/>
      <c r="AA345" s="2"/>
      <c r="AB345" s="2"/>
      <c r="AC345" s="2"/>
      <c r="AD345" s="2"/>
      <c r="AE345" s="2"/>
      <c r="AF345" s="2"/>
      <c r="AG345" s="2"/>
      <c r="AH345" s="2"/>
      <c r="AI345" s="3"/>
    </row>
    <row r="346" spans="1:35" hidden="1" outlineLevel="2">
      <c r="B346" s="4"/>
      <c r="J346" s="182"/>
      <c r="K346" s="66"/>
      <c r="L346" s="66"/>
      <c r="M346" s="66"/>
      <c r="N346" s="183"/>
      <c r="O346" s="131"/>
      <c r="P346" s="66"/>
      <c r="Q346" s="66"/>
      <c r="R346" s="117"/>
      <c r="S346" s="66"/>
      <c r="Y346" s="4"/>
      <c r="AI346" s="5"/>
    </row>
    <row r="347" spans="1:35" hidden="1" outlineLevel="2">
      <c r="B347" s="4"/>
      <c r="D347" s="6"/>
      <c r="E347" s="57"/>
      <c r="F347" s="57"/>
      <c r="G347" s="57"/>
      <c r="H347" s="57"/>
      <c r="J347" s="184"/>
      <c r="K347" s="132"/>
      <c r="L347" s="147"/>
      <c r="M347" s="147"/>
      <c r="N347" s="185"/>
      <c r="O347" s="123"/>
      <c r="P347" s="132"/>
      <c r="Q347" s="132"/>
      <c r="R347" s="112"/>
      <c r="S347" s="132"/>
      <c r="Y347" s="4"/>
      <c r="AI347" s="5"/>
    </row>
    <row r="348" spans="1:35" hidden="1" outlineLevel="2">
      <c r="B348" s="4"/>
      <c r="D348" s="6"/>
      <c r="E348" s="57"/>
      <c r="F348" s="57"/>
      <c r="G348" s="57"/>
      <c r="H348" s="57"/>
      <c r="J348" s="186"/>
      <c r="N348" s="187"/>
      <c r="O348" s="131"/>
      <c r="P348" s="66"/>
      <c r="Q348" s="66"/>
      <c r="R348" s="111"/>
      <c r="Y348" s="4"/>
      <c r="AI348" s="5"/>
    </row>
    <row r="349" spans="1:35" hidden="1" outlineLevel="2">
      <c r="B349" s="4"/>
      <c r="J349" s="110"/>
      <c r="O349" s="131"/>
      <c r="P349" s="144"/>
      <c r="Q349" s="66"/>
      <c r="R349" s="146"/>
      <c r="Y349" s="4"/>
      <c r="AI349" s="5"/>
    </row>
    <row r="350" spans="1:35" hidden="1" outlineLevel="2">
      <c r="B350" s="4"/>
      <c r="J350" s="188"/>
      <c r="K350" s="71"/>
      <c r="L350" s="133"/>
      <c r="M350" s="133"/>
      <c r="N350" s="72"/>
      <c r="O350" s="113"/>
      <c r="P350" s="133"/>
      <c r="Q350" s="133"/>
      <c r="R350" s="121"/>
      <c r="S350" s="133"/>
      <c r="T350" s="10"/>
      <c r="V350" s="14"/>
      <c r="Y350" s="41"/>
      <c r="Z350" s="14"/>
      <c r="AA350" s="14"/>
      <c r="AB350" s="14"/>
      <c r="AC350" s="14"/>
      <c r="AE350" s="31"/>
      <c r="AF350" s="10"/>
      <c r="AG350" s="10"/>
      <c r="AH350" s="10"/>
      <c r="AI350" s="42"/>
    </row>
    <row r="351" spans="1:35" hidden="1" outlineLevel="2">
      <c r="B351" s="4"/>
      <c r="J351" s="188"/>
      <c r="K351" s="71"/>
      <c r="L351" s="133"/>
      <c r="M351" s="133"/>
      <c r="N351" s="72"/>
      <c r="O351" s="113"/>
      <c r="P351" s="133"/>
      <c r="Q351" s="133"/>
      <c r="R351" s="121"/>
      <c r="S351" s="133"/>
      <c r="T351" s="10"/>
      <c r="V351" s="14"/>
      <c r="W351" s="18"/>
      <c r="Y351" s="41"/>
      <c r="Z351" s="14"/>
      <c r="AA351" s="14"/>
      <c r="AB351" s="14"/>
      <c r="AC351" s="14"/>
      <c r="AE351" s="31"/>
      <c r="AF351" s="10"/>
      <c r="AG351" s="10"/>
      <c r="AH351" s="10"/>
      <c r="AI351" s="42"/>
    </row>
    <row r="352" spans="1:35" hidden="1" outlineLevel="2">
      <c r="B352" s="4"/>
      <c r="D352" s="6"/>
      <c r="E352" s="57"/>
      <c r="G352" s="57"/>
      <c r="H352" s="57"/>
      <c r="J352" s="188"/>
      <c r="K352" s="71"/>
      <c r="L352" s="133"/>
      <c r="M352" s="133"/>
      <c r="N352" s="72"/>
      <c r="O352" s="113"/>
      <c r="P352" s="133"/>
      <c r="Q352" s="133"/>
      <c r="R352" s="121"/>
      <c r="S352" s="133"/>
      <c r="T352" s="10"/>
      <c r="V352" s="14"/>
      <c r="Y352" s="41"/>
      <c r="Z352" s="14"/>
      <c r="AA352" s="14"/>
      <c r="AB352" s="14"/>
      <c r="AC352" s="14"/>
      <c r="AE352" s="31"/>
      <c r="AF352" s="10"/>
      <c r="AG352" s="10"/>
      <c r="AH352" s="10"/>
      <c r="AI352" s="42"/>
    </row>
    <row r="353" spans="1:35" hidden="1" outlineLevel="2">
      <c r="B353" s="8"/>
      <c r="C353" s="9"/>
      <c r="D353" s="9"/>
      <c r="E353" s="59"/>
      <c r="F353" s="59"/>
      <c r="G353" s="59"/>
      <c r="H353" s="64"/>
      <c r="I353" s="65"/>
      <c r="J353" s="189"/>
      <c r="K353" s="134"/>
      <c r="L353" s="116"/>
      <c r="M353" s="116"/>
      <c r="N353" s="190"/>
      <c r="O353" s="145"/>
      <c r="P353" s="116"/>
      <c r="Q353" s="116"/>
      <c r="R353" s="114"/>
      <c r="S353" s="74"/>
      <c r="Y353" s="8"/>
      <c r="Z353" s="9"/>
      <c r="AA353" s="9"/>
      <c r="AB353" s="9"/>
      <c r="AC353" s="9"/>
      <c r="AD353" s="9"/>
      <c r="AE353" s="9"/>
      <c r="AF353" s="9"/>
      <c r="AG353" s="9"/>
      <c r="AH353" s="9"/>
      <c r="AI353" s="43"/>
    </row>
    <row r="354" spans="1:35" hidden="1" outlineLevel="2">
      <c r="J354" s="193"/>
      <c r="K354" s="194"/>
      <c r="L354" s="119"/>
      <c r="M354" s="119"/>
      <c r="N354" s="191"/>
      <c r="O354" s="128"/>
      <c r="P354" s="119"/>
      <c r="Q354" s="119"/>
      <c r="R354" s="129"/>
      <c r="S354" s="74"/>
    </row>
    <row r="355" spans="1:35" ht="13.5" hidden="1" outlineLevel="2" thickBot="1">
      <c r="J355" s="192"/>
      <c r="K355" s="153"/>
      <c r="L355" s="153"/>
      <c r="M355" s="153"/>
      <c r="N355" s="154"/>
      <c r="O355" s="74"/>
      <c r="P355" s="74"/>
      <c r="Q355" s="74"/>
      <c r="R355" s="74"/>
      <c r="S355" s="74"/>
    </row>
    <row r="356" spans="1:35" ht="13.5" hidden="1" outlineLevel="2" thickBot="1">
      <c r="J356" s="61"/>
    </row>
    <row r="357" spans="1:35" hidden="1" outlineLevel="2">
      <c r="A357" s="49"/>
      <c r="B357" s="251"/>
      <c r="C357" s="34"/>
      <c r="D357" s="34"/>
      <c r="E357" s="56"/>
      <c r="F357" s="56"/>
      <c r="G357" s="56"/>
      <c r="H357" s="56"/>
      <c r="I357" s="56"/>
      <c r="J357" s="179"/>
      <c r="K357" s="180"/>
      <c r="L357" s="180"/>
      <c r="M357" s="180"/>
      <c r="N357" s="181"/>
      <c r="O357" s="120"/>
      <c r="P357" s="56"/>
      <c r="Q357" s="56"/>
      <c r="R357" s="122"/>
      <c r="Y357" s="40"/>
      <c r="Z357" s="2"/>
      <c r="AA357" s="2"/>
      <c r="AB357" s="2"/>
      <c r="AC357" s="2"/>
      <c r="AD357" s="2"/>
      <c r="AE357" s="2"/>
      <c r="AF357" s="2"/>
      <c r="AG357" s="2"/>
      <c r="AH357" s="2"/>
      <c r="AI357" s="3"/>
    </row>
    <row r="358" spans="1:35" hidden="1" outlineLevel="2">
      <c r="B358" s="4"/>
      <c r="J358" s="182"/>
      <c r="K358" s="66"/>
      <c r="L358" s="66"/>
      <c r="M358" s="66"/>
      <c r="N358" s="183"/>
      <c r="O358" s="131"/>
      <c r="P358" s="66"/>
      <c r="Q358" s="66"/>
      <c r="R358" s="117"/>
      <c r="S358" s="66"/>
      <c r="Y358" s="4"/>
      <c r="AI358" s="5"/>
    </row>
    <row r="359" spans="1:35" hidden="1" outlineLevel="2">
      <c r="B359" s="4"/>
      <c r="D359" s="6"/>
      <c r="E359" s="57"/>
      <c r="F359" s="57"/>
      <c r="G359" s="57"/>
      <c r="H359" s="57"/>
      <c r="J359" s="184"/>
      <c r="K359" s="132"/>
      <c r="L359" s="147"/>
      <c r="M359" s="147"/>
      <c r="N359" s="185"/>
      <c r="O359" s="123"/>
      <c r="P359" s="132"/>
      <c r="Q359" s="132"/>
      <c r="R359" s="112"/>
      <c r="S359" s="132"/>
      <c r="Y359" s="4"/>
      <c r="AI359" s="5"/>
    </row>
    <row r="360" spans="1:35" hidden="1" outlineLevel="2">
      <c r="B360" s="4"/>
      <c r="D360" s="6"/>
      <c r="E360" s="57"/>
      <c r="F360" s="57"/>
      <c r="G360" s="57"/>
      <c r="H360" s="57"/>
      <c r="J360" s="186"/>
      <c r="N360" s="187"/>
      <c r="O360" s="131"/>
      <c r="P360" s="66"/>
      <c r="Q360" s="66"/>
      <c r="R360" s="111"/>
      <c r="Y360" s="4"/>
      <c r="AI360" s="5"/>
    </row>
    <row r="361" spans="1:35" hidden="1" outlineLevel="2">
      <c r="B361" s="4"/>
      <c r="J361" s="110"/>
      <c r="O361" s="131"/>
      <c r="P361" s="144"/>
      <c r="Q361" s="66"/>
      <c r="R361" s="146"/>
      <c r="Y361" s="4"/>
      <c r="AI361" s="5"/>
    </row>
    <row r="362" spans="1:35" hidden="1" outlineLevel="2">
      <c r="B362" s="4"/>
      <c r="J362" s="188"/>
      <c r="K362" s="71"/>
      <c r="L362" s="133"/>
      <c r="M362" s="133"/>
      <c r="N362" s="72"/>
      <c r="O362" s="113"/>
      <c r="P362" s="133"/>
      <c r="Q362" s="133"/>
      <c r="R362" s="121"/>
      <c r="S362" s="133"/>
      <c r="T362" s="10"/>
      <c r="V362" s="14"/>
      <c r="Y362" s="41"/>
      <c r="Z362" s="14"/>
      <c r="AA362" s="14"/>
      <c r="AB362" s="14"/>
      <c r="AC362" s="14"/>
      <c r="AE362" s="31"/>
      <c r="AF362" s="10"/>
      <c r="AG362" s="10"/>
      <c r="AH362" s="10"/>
      <c r="AI362" s="42"/>
    </row>
    <row r="363" spans="1:35" hidden="1" outlineLevel="2">
      <c r="B363" s="4"/>
      <c r="J363" s="188"/>
      <c r="K363" s="71"/>
      <c r="L363" s="133"/>
      <c r="M363" s="133"/>
      <c r="N363" s="72"/>
      <c r="O363" s="113"/>
      <c r="P363" s="133"/>
      <c r="Q363" s="133"/>
      <c r="R363" s="121"/>
      <c r="S363" s="133"/>
      <c r="T363" s="10"/>
      <c r="V363" s="14"/>
      <c r="W363" s="18"/>
      <c r="Y363" s="41"/>
      <c r="Z363" s="14"/>
      <c r="AA363" s="14"/>
      <c r="AB363" s="14"/>
      <c r="AC363" s="14"/>
      <c r="AE363" s="31"/>
      <c r="AF363" s="10"/>
      <c r="AG363" s="10"/>
      <c r="AH363" s="10"/>
      <c r="AI363" s="42"/>
    </row>
    <row r="364" spans="1:35" hidden="1" outlineLevel="2">
      <c r="B364" s="4"/>
      <c r="D364" s="6"/>
      <c r="E364" s="57"/>
      <c r="G364" s="57"/>
      <c r="H364" s="57"/>
      <c r="J364" s="188"/>
      <c r="K364" s="71"/>
      <c r="L364" s="133"/>
      <c r="M364" s="133"/>
      <c r="N364" s="72"/>
      <c r="O364" s="113"/>
      <c r="P364" s="133"/>
      <c r="Q364" s="133"/>
      <c r="R364" s="121"/>
      <c r="S364" s="133"/>
      <c r="T364" s="10"/>
      <c r="V364" s="14"/>
      <c r="Y364" s="41"/>
      <c r="Z364" s="14"/>
      <c r="AA364" s="14"/>
      <c r="AB364" s="14"/>
      <c r="AC364" s="14"/>
      <c r="AE364" s="31"/>
      <c r="AF364" s="10"/>
      <c r="AG364" s="10"/>
      <c r="AH364" s="10"/>
      <c r="AI364" s="42"/>
    </row>
    <row r="365" spans="1:35" hidden="1" outlineLevel="2">
      <c r="B365" s="8"/>
      <c r="C365" s="9"/>
      <c r="D365" s="9"/>
      <c r="E365" s="59"/>
      <c r="F365" s="59"/>
      <c r="G365" s="59"/>
      <c r="H365" s="63"/>
      <c r="I365" s="59"/>
      <c r="J365" s="189"/>
      <c r="K365" s="134"/>
      <c r="L365" s="116"/>
      <c r="M365" s="116"/>
      <c r="N365" s="190"/>
      <c r="O365" s="145"/>
      <c r="P365" s="116"/>
      <c r="Q365" s="116"/>
      <c r="R365" s="114"/>
      <c r="S365" s="74"/>
      <c r="Y365" s="8"/>
      <c r="Z365" s="9"/>
      <c r="AA365" s="9"/>
      <c r="AB365" s="9"/>
      <c r="AC365" s="9"/>
      <c r="AD365" s="9"/>
      <c r="AE365" s="9"/>
      <c r="AF365" s="9"/>
      <c r="AG365" s="9"/>
      <c r="AH365" s="9"/>
      <c r="AI365" s="43"/>
    </row>
    <row r="366" spans="1:35" hidden="1" outlineLevel="2">
      <c r="J366" s="193"/>
      <c r="K366" s="194"/>
      <c r="L366" s="119"/>
      <c r="M366" s="119"/>
      <c r="N366" s="191"/>
      <c r="O366" s="128"/>
      <c r="P366" s="119"/>
      <c r="Q366" s="119"/>
      <c r="R366" s="129"/>
      <c r="S366" s="74"/>
    </row>
    <row r="367" spans="1:35" ht="13.5" hidden="1" outlineLevel="2" thickBot="1">
      <c r="J367" s="192"/>
      <c r="K367" s="153"/>
      <c r="L367" s="153"/>
      <c r="M367" s="153"/>
      <c r="N367" s="154"/>
      <c r="O367" s="74"/>
      <c r="P367" s="74"/>
      <c r="Q367" s="74"/>
      <c r="R367" s="74"/>
      <c r="S367" s="74"/>
    </row>
    <row r="368" spans="1:35" ht="13.5" hidden="1" outlineLevel="2" thickBot="1">
      <c r="J368" s="61"/>
    </row>
    <row r="369" spans="1:35" hidden="1" outlineLevel="2">
      <c r="A369" s="49"/>
      <c r="B369" s="33"/>
      <c r="C369" s="34"/>
      <c r="D369" s="34"/>
      <c r="E369" s="56"/>
      <c r="F369" s="56"/>
      <c r="G369" s="56"/>
      <c r="H369" s="56"/>
      <c r="I369" s="56"/>
      <c r="J369" s="179"/>
      <c r="K369" s="180"/>
      <c r="L369" s="180"/>
      <c r="M369" s="180"/>
      <c r="N369" s="181"/>
      <c r="O369" s="120"/>
      <c r="P369" s="56"/>
      <c r="Q369" s="56"/>
      <c r="R369" s="122"/>
      <c r="Y369" s="40"/>
      <c r="Z369" s="2"/>
      <c r="AA369" s="2"/>
      <c r="AB369" s="2"/>
      <c r="AC369" s="2"/>
      <c r="AD369" s="2"/>
      <c r="AE369" s="2"/>
      <c r="AF369" s="2"/>
      <c r="AG369" s="2"/>
      <c r="AH369" s="2"/>
      <c r="AI369" s="3"/>
    </row>
    <row r="370" spans="1:35" hidden="1" outlineLevel="2">
      <c r="B370" s="4"/>
      <c r="J370" s="182"/>
      <c r="K370" s="66"/>
      <c r="L370" s="66"/>
      <c r="M370" s="66"/>
      <c r="N370" s="183"/>
      <c r="O370" s="131"/>
      <c r="P370" s="66"/>
      <c r="Q370" s="66"/>
      <c r="R370" s="117"/>
      <c r="S370" s="66"/>
      <c r="Y370" s="4"/>
      <c r="AI370" s="5"/>
    </row>
    <row r="371" spans="1:35" hidden="1" outlineLevel="2">
      <c r="B371" s="4"/>
      <c r="D371" s="6"/>
      <c r="E371" s="57"/>
      <c r="F371" s="57"/>
      <c r="G371" s="57"/>
      <c r="H371" s="57"/>
      <c r="J371" s="184"/>
      <c r="K371" s="132"/>
      <c r="L371" s="147"/>
      <c r="M371" s="147"/>
      <c r="N371" s="185"/>
      <c r="O371" s="123"/>
      <c r="P371" s="132"/>
      <c r="Q371" s="132"/>
      <c r="R371" s="112"/>
      <c r="S371" s="132"/>
      <c r="Y371" s="4"/>
      <c r="AI371" s="5"/>
    </row>
    <row r="372" spans="1:35" hidden="1" outlineLevel="2">
      <c r="B372" s="4"/>
      <c r="D372" s="6"/>
      <c r="E372" s="57"/>
      <c r="F372" s="57"/>
      <c r="G372" s="57"/>
      <c r="H372" s="57"/>
      <c r="J372" s="186"/>
      <c r="N372" s="187"/>
      <c r="O372" s="131"/>
      <c r="P372" s="66"/>
      <c r="Q372" s="66"/>
      <c r="R372" s="111"/>
      <c r="Y372" s="4"/>
      <c r="AI372" s="5"/>
    </row>
    <row r="373" spans="1:35" hidden="1" outlineLevel="2">
      <c r="B373" s="4"/>
      <c r="J373" s="110"/>
      <c r="O373" s="131"/>
      <c r="P373" s="144"/>
      <c r="Q373" s="66"/>
      <c r="R373" s="146"/>
      <c r="Y373" s="4"/>
      <c r="AI373" s="5"/>
    </row>
    <row r="374" spans="1:35" hidden="1" outlineLevel="2">
      <c r="B374" s="4"/>
      <c r="J374" s="188"/>
      <c r="K374" s="71"/>
      <c r="L374" s="133"/>
      <c r="M374" s="133"/>
      <c r="N374" s="72"/>
      <c r="O374" s="113"/>
      <c r="P374" s="133"/>
      <c r="Q374" s="133"/>
      <c r="R374" s="121"/>
      <c r="S374" s="133"/>
      <c r="T374" s="10"/>
      <c r="V374" s="14"/>
      <c r="Y374" s="41"/>
      <c r="Z374" s="14"/>
      <c r="AA374" s="14"/>
      <c r="AB374" s="14"/>
      <c r="AC374" s="14"/>
      <c r="AE374" s="31"/>
      <c r="AF374" s="10"/>
      <c r="AG374" s="10"/>
      <c r="AH374" s="10"/>
      <c r="AI374" s="42"/>
    </row>
    <row r="375" spans="1:35" hidden="1" outlineLevel="2">
      <c r="B375" s="4"/>
      <c r="J375" s="188"/>
      <c r="K375" s="71"/>
      <c r="L375" s="133"/>
      <c r="M375" s="133"/>
      <c r="N375" s="72"/>
      <c r="O375" s="113"/>
      <c r="P375" s="133"/>
      <c r="Q375" s="133"/>
      <c r="R375" s="121"/>
      <c r="S375" s="133"/>
      <c r="T375" s="10"/>
      <c r="V375" s="14"/>
      <c r="W375" s="18"/>
      <c r="Y375" s="41"/>
      <c r="Z375" s="14"/>
      <c r="AA375" s="14"/>
      <c r="AB375" s="14"/>
      <c r="AC375" s="14"/>
      <c r="AE375" s="31"/>
      <c r="AF375" s="10"/>
      <c r="AG375" s="10"/>
      <c r="AH375" s="10"/>
      <c r="AI375" s="42"/>
    </row>
    <row r="376" spans="1:35" hidden="1" outlineLevel="2">
      <c r="B376" s="4"/>
      <c r="D376" s="6"/>
      <c r="E376" s="57"/>
      <c r="G376" s="57"/>
      <c r="H376" s="57"/>
      <c r="J376" s="188"/>
      <c r="K376" s="71"/>
      <c r="L376" s="133"/>
      <c r="M376" s="133"/>
      <c r="N376" s="72"/>
      <c r="O376" s="113"/>
      <c r="P376" s="133"/>
      <c r="Q376" s="133"/>
      <c r="R376" s="121"/>
      <c r="S376" s="133"/>
      <c r="T376" s="10"/>
      <c r="V376" s="14"/>
      <c r="Y376" s="41"/>
      <c r="Z376" s="14"/>
      <c r="AA376" s="14"/>
      <c r="AB376" s="14"/>
      <c r="AC376" s="14"/>
      <c r="AE376" s="31"/>
      <c r="AF376" s="10"/>
      <c r="AG376" s="10"/>
      <c r="AH376" s="10"/>
      <c r="AI376" s="42"/>
    </row>
    <row r="377" spans="1:35" hidden="1" outlineLevel="2">
      <c r="B377" s="8"/>
      <c r="C377" s="9"/>
      <c r="D377" s="9"/>
      <c r="E377" s="59"/>
      <c r="F377" s="59"/>
      <c r="G377" s="59"/>
      <c r="H377" s="59"/>
      <c r="I377" s="59"/>
      <c r="J377" s="189"/>
      <c r="K377" s="134"/>
      <c r="L377" s="116"/>
      <c r="M377" s="116"/>
      <c r="N377" s="190"/>
      <c r="O377" s="145"/>
      <c r="P377" s="116"/>
      <c r="Q377" s="116"/>
      <c r="R377" s="114"/>
      <c r="S377" s="74"/>
      <c r="Y377" s="8"/>
      <c r="Z377" s="9"/>
      <c r="AA377" s="9"/>
      <c r="AB377" s="9"/>
      <c r="AC377" s="9"/>
      <c r="AD377" s="9"/>
      <c r="AE377" s="9"/>
      <c r="AF377" s="9"/>
      <c r="AG377" s="9"/>
      <c r="AH377" s="9"/>
      <c r="AI377" s="43"/>
    </row>
    <row r="378" spans="1:35" hidden="1" outlineLevel="2">
      <c r="J378" s="193"/>
      <c r="K378" s="194"/>
      <c r="L378" s="119"/>
      <c r="M378" s="119"/>
      <c r="N378" s="191"/>
      <c r="O378" s="128"/>
      <c r="P378" s="119"/>
      <c r="Q378" s="119"/>
      <c r="R378" s="129"/>
      <c r="S378" s="74"/>
    </row>
    <row r="379" spans="1:35" ht="13.5" hidden="1" outlineLevel="2" thickBot="1">
      <c r="J379" s="192"/>
      <c r="K379" s="153"/>
      <c r="L379" s="153"/>
      <c r="M379" s="153"/>
      <c r="N379" s="154"/>
      <c r="S379" s="127"/>
    </row>
    <row r="380" spans="1:35" hidden="1" outlineLevel="2"/>
    <row r="381" spans="1:35" ht="13.5" hidden="1" outlineLevel="2" thickBot="1"/>
    <row r="382" spans="1:35" hidden="1" outlineLevel="2">
      <c r="B382" s="252"/>
      <c r="C382" s="200"/>
      <c r="D382" s="200"/>
      <c r="E382" s="201"/>
      <c r="F382" s="201"/>
      <c r="G382" s="201"/>
      <c r="H382" s="202"/>
      <c r="I382" s="56"/>
      <c r="J382" s="179"/>
      <c r="K382" s="180"/>
      <c r="L382" s="180"/>
      <c r="M382" s="180"/>
      <c r="N382" s="181"/>
    </row>
    <row r="383" spans="1:35" hidden="1" outlineLevel="2">
      <c r="B383" s="203"/>
      <c r="C383" s="204"/>
      <c r="D383" s="204"/>
      <c r="E383" s="205"/>
      <c r="F383" s="205"/>
      <c r="G383" s="205"/>
      <c r="H383" s="206"/>
      <c r="J383" s="182"/>
      <c r="K383" s="66"/>
      <c r="L383" s="66"/>
      <c r="M383" s="66"/>
      <c r="N383" s="183"/>
    </row>
    <row r="384" spans="1:35" ht="27" hidden="1" customHeight="1" outlineLevel="2">
      <c r="B384" s="203"/>
      <c r="C384" s="204"/>
      <c r="D384" s="207"/>
      <c r="E384" s="207"/>
      <c r="F384" s="207"/>
      <c r="G384" s="207"/>
      <c r="H384" s="208"/>
      <c r="J384" s="184"/>
      <c r="K384" s="132"/>
      <c r="L384" s="147"/>
      <c r="M384" s="147"/>
      <c r="N384" s="185"/>
    </row>
    <row r="385" spans="2:18" customFormat="1" ht="45.75" hidden="1" customHeight="1" outlineLevel="2">
      <c r="B385" s="203"/>
      <c r="C385" s="204"/>
      <c r="D385" s="207"/>
      <c r="E385" s="207"/>
      <c r="F385" s="207"/>
      <c r="G385" s="207"/>
      <c r="H385" s="208"/>
      <c r="I385" s="13"/>
      <c r="J385" s="186"/>
      <c r="K385" s="13"/>
      <c r="L385" s="13"/>
      <c r="M385" s="13"/>
      <c r="N385" s="187"/>
      <c r="O385" s="13"/>
      <c r="P385" s="13"/>
      <c r="Q385" s="13"/>
      <c r="R385" s="13"/>
    </row>
    <row r="386" spans="2:18" customFormat="1" hidden="1" outlineLevel="2">
      <c r="B386" s="203"/>
      <c r="C386" s="204"/>
      <c r="D386" s="204"/>
      <c r="E386" s="205"/>
      <c r="F386" s="205"/>
      <c r="G386" s="205"/>
      <c r="H386" s="206"/>
      <c r="I386" s="13"/>
      <c r="J386" s="186"/>
      <c r="K386" s="13"/>
      <c r="L386" s="13"/>
      <c r="M386" s="13"/>
      <c r="N386" s="187"/>
      <c r="O386" s="13"/>
      <c r="P386" s="13"/>
      <c r="Q386" s="13"/>
      <c r="R386" s="13"/>
    </row>
    <row r="387" spans="2:18" customFormat="1" hidden="1" outlineLevel="2">
      <c r="B387" s="203"/>
      <c r="C387" s="204"/>
      <c r="D387" s="204"/>
      <c r="E387" s="204"/>
      <c r="F387" s="205"/>
      <c r="G387" s="205"/>
      <c r="H387" s="206"/>
      <c r="I387" s="13"/>
      <c r="J387" s="188"/>
      <c r="K387" s="71"/>
      <c r="L387" s="133"/>
      <c r="M387" s="133"/>
      <c r="N387" s="72"/>
      <c r="O387" s="13"/>
      <c r="P387" s="13"/>
      <c r="Q387" s="13"/>
      <c r="R387" s="13"/>
    </row>
    <row r="388" spans="2:18" customFormat="1" hidden="1" outlineLevel="2">
      <c r="B388" s="203"/>
      <c r="C388" s="204"/>
      <c r="D388" s="204"/>
      <c r="E388" s="205"/>
      <c r="F388" s="205"/>
      <c r="G388" s="205"/>
      <c r="H388" s="206"/>
      <c r="I388" s="13"/>
      <c r="J388" s="188"/>
      <c r="K388" s="71"/>
      <c r="L388" s="133"/>
      <c r="M388" s="133"/>
      <c r="N388" s="72"/>
      <c r="O388" s="13"/>
      <c r="P388" s="13"/>
      <c r="Q388" s="13"/>
      <c r="R388" s="13"/>
    </row>
    <row r="389" spans="2:18" customFormat="1" hidden="1" outlineLevel="2">
      <c r="B389" s="203"/>
      <c r="C389" s="204"/>
      <c r="D389" s="207"/>
      <c r="E389" s="207"/>
      <c r="F389" s="205"/>
      <c r="G389" s="209"/>
      <c r="H389" s="210"/>
      <c r="I389" s="13"/>
      <c r="J389" s="188"/>
      <c r="K389" s="71"/>
      <c r="L389" s="133"/>
      <c r="M389" s="133"/>
      <c r="N389" s="72"/>
      <c r="O389" s="13"/>
      <c r="P389" s="13"/>
      <c r="Q389" s="13"/>
      <c r="R389" s="13"/>
    </row>
    <row r="390" spans="2:18" customFormat="1" hidden="1" outlineLevel="2">
      <c r="B390" s="211"/>
      <c r="C390" s="212"/>
      <c r="D390" s="212"/>
      <c r="E390" s="213"/>
      <c r="F390" s="213"/>
      <c r="G390" s="213"/>
      <c r="H390" s="214"/>
      <c r="I390" s="59"/>
      <c r="J390" s="189"/>
      <c r="K390" s="134"/>
      <c r="L390" s="116"/>
      <c r="M390" s="116"/>
      <c r="N390" s="190"/>
      <c r="O390" s="13"/>
      <c r="P390" s="13"/>
      <c r="Q390" s="13"/>
      <c r="R390" s="13"/>
    </row>
    <row r="391" spans="2:18" customFormat="1" hidden="1" outlineLevel="2">
      <c r="E391" s="13"/>
      <c r="F391" s="13"/>
      <c r="G391" s="13"/>
      <c r="H391" s="13"/>
      <c r="I391" s="13"/>
      <c r="J391" s="193"/>
      <c r="K391" s="194"/>
      <c r="L391" s="119"/>
      <c r="M391" s="119"/>
      <c r="N391" s="191"/>
      <c r="O391" s="13"/>
      <c r="P391" s="13"/>
      <c r="Q391" s="13"/>
      <c r="R391" s="13"/>
    </row>
    <row r="392" spans="2:18" customFormat="1" ht="13.5" hidden="1" outlineLevel="2" thickBot="1">
      <c r="E392" s="13"/>
      <c r="F392" s="13"/>
      <c r="G392" s="13"/>
      <c r="H392" s="13"/>
      <c r="I392" s="13"/>
      <c r="J392" s="192"/>
      <c r="K392" s="153"/>
      <c r="L392" s="153"/>
      <c r="M392" s="153"/>
      <c r="N392" s="154"/>
      <c r="O392" s="13"/>
      <c r="P392" s="13"/>
      <c r="Q392" s="13"/>
      <c r="R392" s="13"/>
    </row>
    <row r="393" spans="2:18" hidden="1" outlineLevel="2"/>
    <row r="394" spans="2:18" ht="13.5" hidden="1" outlineLevel="2" thickBot="1"/>
    <row r="395" spans="2:18" hidden="1" outlineLevel="2">
      <c r="B395" s="1"/>
      <c r="C395" s="12"/>
      <c r="D395" s="12"/>
      <c r="E395" s="56"/>
      <c r="F395" s="56"/>
      <c r="G395" s="56"/>
      <c r="H395" s="56"/>
      <c r="I395" s="56"/>
      <c r="J395" s="179"/>
      <c r="K395" s="180"/>
      <c r="L395" s="180"/>
      <c r="M395" s="180"/>
      <c r="N395" s="181"/>
    </row>
    <row r="396" spans="2:18" hidden="1" outlineLevel="2">
      <c r="B396" s="4"/>
      <c r="J396" s="182"/>
      <c r="K396" s="66"/>
      <c r="L396" s="66"/>
      <c r="M396" s="66"/>
      <c r="N396" s="183"/>
    </row>
    <row r="397" spans="2:18" hidden="1" outlineLevel="2">
      <c r="B397" s="4"/>
      <c r="D397" s="216"/>
      <c r="E397" s="6"/>
      <c r="F397" s="6"/>
      <c r="G397" s="6"/>
      <c r="H397" s="6"/>
      <c r="J397" s="184"/>
      <c r="K397" s="132"/>
      <c r="L397" s="147"/>
      <c r="M397" s="147"/>
      <c r="N397" s="185"/>
    </row>
    <row r="398" spans="2:18" hidden="1" outlineLevel="2">
      <c r="B398" s="4"/>
      <c r="D398" s="6"/>
      <c r="E398" s="6"/>
      <c r="F398" s="6"/>
      <c r="G398" s="6"/>
      <c r="H398" s="6"/>
      <c r="J398" s="186"/>
      <c r="N398" s="187"/>
    </row>
    <row r="399" spans="2:18" hidden="1" outlineLevel="2">
      <c r="B399" s="4"/>
      <c r="D399" s="216"/>
      <c r="E399" s="6"/>
      <c r="F399" s="6"/>
      <c r="G399" s="6"/>
      <c r="H399" s="57"/>
      <c r="J399" s="186"/>
      <c r="N399" s="187"/>
    </row>
    <row r="400" spans="2:18" hidden="1" outlineLevel="2">
      <c r="B400" s="4"/>
      <c r="J400" s="186"/>
      <c r="N400" s="187"/>
    </row>
    <row r="401" spans="2:14" hidden="1" outlineLevel="2">
      <c r="B401" s="4"/>
      <c r="D401" s="217"/>
      <c r="J401" s="224"/>
      <c r="K401" s="108"/>
      <c r="L401" s="226"/>
      <c r="M401" s="227"/>
      <c r="N401" s="228"/>
    </row>
    <row r="402" spans="2:14" hidden="1" outlineLevel="2">
      <c r="B402" s="4"/>
      <c r="E402"/>
      <c r="F402"/>
      <c r="G402"/>
      <c r="H402"/>
      <c r="J402" s="224"/>
      <c r="K402" s="108"/>
      <c r="L402" s="226"/>
      <c r="M402" s="227"/>
      <c r="N402" s="228"/>
    </row>
    <row r="403" spans="2:14" hidden="1" outlineLevel="2">
      <c r="B403" s="4"/>
      <c r="D403" s="216"/>
      <c r="E403" s="6"/>
      <c r="F403" s="6"/>
      <c r="G403" s="6"/>
      <c r="H403" s="6"/>
      <c r="I403" s="6"/>
      <c r="J403" s="224"/>
      <c r="K403" s="108"/>
      <c r="L403" s="226"/>
      <c r="M403" s="227"/>
      <c r="N403" s="228"/>
    </row>
    <row r="404" spans="2:14" hidden="1" outlineLevel="2">
      <c r="B404" s="8"/>
      <c r="C404" s="9"/>
      <c r="D404" s="9"/>
      <c r="E404" s="59"/>
      <c r="F404" s="59"/>
      <c r="G404" s="59"/>
      <c r="H404" s="59"/>
      <c r="I404" s="59"/>
      <c r="J404" s="225"/>
      <c r="K404" s="70"/>
      <c r="L404" s="229"/>
      <c r="M404" s="229"/>
      <c r="N404" s="230"/>
    </row>
    <row r="405" spans="2:14" hidden="1" outlineLevel="2">
      <c r="J405" s="193"/>
      <c r="K405" s="194"/>
      <c r="L405" s="119"/>
      <c r="M405" s="119"/>
      <c r="N405" s="191"/>
    </row>
    <row r="406" spans="2:14" ht="13.5" hidden="1" outlineLevel="2" thickBot="1">
      <c r="J406" s="192"/>
      <c r="K406" s="153"/>
      <c r="L406" s="153"/>
      <c r="M406" s="153"/>
      <c r="N406" s="154"/>
    </row>
    <row r="407" spans="2:14" hidden="1" outlineLevel="2">
      <c r="E407"/>
      <c r="F407"/>
      <c r="G407"/>
      <c r="H407"/>
      <c r="I407"/>
      <c r="J407"/>
      <c r="K407"/>
      <c r="L407"/>
      <c r="M407"/>
      <c r="N407"/>
    </row>
    <row r="408" spans="2:14" hidden="1" outlineLevel="2"/>
    <row r="409" spans="2:14" hidden="1" outlineLevel="2"/>
    <row r="410" spans="2:14" ht="13.5" hidden="1" outlineLevel="2" thickBot="1"/>
    <row r="411" spans="2:14" hidden="1" outlineLevel="2">
      <c r="B411" s="1"/>
      <c r="C411" s="12"/>
      <c r="D411" s="12"/>
      <c r="E411" s="56"/>
      <c r="F411" s="56"/>
      <c r="G411" s="56"/>
      <c r="H411" s="56"/>
      <c r="I411" s="56"/>
      <c r="J411" s="179"/>
      <c r="K411" s="180"/>
      <c r="L411" s="180"/>
      <c r="M411" s="180"/>
      <c r="N411" s="181"/>
    </row>
    <row r="412" spans="2:14" hidden="1" outlineLevel="2">
      <c r="B412" s="4"/>
      <c r="J412" s="182"/>
      <c r="K412" s="66"/>
      <c r="L412" s="66"/>
      <c r="M412" s="66"/>
      <c r="N412" s="183"/>
    </row>
    <row r="413" spans="2:14" hidden="1" outlineLevel="2">
      <c r="B413" s="4"/>
      <c r="D413" s="215"/>
      <c r="E413" s="6"/>
      <c r="F413" s="6"/>
      <c r="G413" s="6"/>
      <c r="H413" s="6"/>
      <c r="J413" s="184"/>
      <c r="K413" s="132"/>
      <c r="L413" s="147"/>
      <c r="M413" s="147"/>
      <c r="N413" s="185"/>
    </row>
    <row r="414" spans="2:14" hidden="1" outlineLevel="2">
      <c r="B414" s="4"/>
      <c r="D414" s="6"/>
      <c r="E414" s="6"/>
      <c r="F414" s="6"/>
      <c r="G414" s="6"/>
      <c r="H414" s="6"/>
      <c r="J414" s="186"/>
      <c r="N414" s="187"/>
    </row>
    <row r="415" spans="2:14" hidden="1" outlineLevel="2">
      <c r="B415" s="4"/>
      <c r="D415" s="6"/>
      <c r="E415" s="6"/>
      <c r="F415" s="6"/>
      <c r="G415" s="6"/>
      <c r="H415" s="215"/>
      <c r="J415" s="186"/>
      <c r="N415" s="187"/>
    </row>
    <row r="416" spans="2:14" hidden="1" outlineLevel="2">
      <c r="B416" s="4"/>
      <c r="J416" s="186"/>
      <c r="N416" s="187"/>
    </row>
    <row r="417" spans="1:15" hidden="1" outlineLevel="2">
      <c r="B417" s="4"/>
      <c r="J417" s="231"/>
      <c r="K417" s="232"/>
      <c r="L417" s="226"/>
      <c r="M417" s="227"/>
      <c r="N417" s="228"/>
    </row>
    <row r="418" spans="1:15" hidden="1" outlineLevel="2">
      <c r="B418" s="4"/>
      <c r="E418"/>
      <c r="F418"/>
      <c r="G418"/>
      <c r="H418"/>
      <c r="J418" s="231"/>
      <c r="K418" s="232"/>
      <c r="L418" s="226"/>
      <c r="M418" s="227"/>
      <c r="N418" s="228"/>
    </row>
    <row r="419" spans="1:15" hidden="1" outlineLevel="2">
      <c r="B419" s="4"/>
      <c r="D419" s="6"/>
      <c r="E419" s="6"/>
      <c r="F419" s="6"/>
      <c r="G419" s="6"/>
      <c r="H419" s="6"/>
      <c r="I419" s="6"/>
      <c r="J419" s="231"/>
      <c r="K419" s="232"/>
      <c r="L419" s="226"/>
      <c r="M419" s="227"/>
      <c r="N419" s="228"/>
    </row>
    <row r="420" spans="1:15" hidden="1" outlineLevel="2">
      <c r="B420" s="8"/>
      <c r="C420" s="9"/>
      <c r="D420" s="9"/>
      <c r="E420" s="59"/>
      <c r="F420" s="59"/>
      <c r="G420" s="59"/>
      <c r="H420" s="59"/>
      <c r="I420" s="59"/>
      <c r="J420" s="233"/>
      <c r="K420" s="234"/>
      <c r="L420" s="229"/>
      <c r="M420" s="229"/>
      <c r="N420" s="230"/>
    </row>
    <row r="421" spans="1:15" hidden="1" outlineLevel="2">
      <c r="J421" s="193"/>
      <c r="K421" s="194"/>
      <c r="L421" s="119"/>
      <c r="M421" s="119"/>
      <c r="N421" s="191"/>
    </row>
    <row r="422" spans="1:15" ht="13.5" hidden="1" outlineLevel="2" thickBot="1">
      <c r="J422" s="192"/>
      <c r="K422" s="153"/>
      <c r="L422" s="153"/>
      <c r="M422" s="153"/>
      <c r="N422" s="154"/>
    </row>
    <row r="423" spans="1:15" hidden="1" outlineLevel="2"/>
    <row r="424" spans="1:15" hidden="1" outlineLevel="2"/>
    <row r="425" spans="1:15" hidden="1" outlineLevel="2"/>
    <row r="426" spans="1:15" hidden="1" outlineLevel="2">
      <c r="E426"/>
      <c r="F426"/>
      <c r="G426"/>
      <c r="H426"/>
      <c r="I426"/>
      <c r="J426"/>
      <c r="K426"/>
      <c r="L426"/>
      <c r="M426"/>
      <c r="N426"/>
      <c r="O426"/>
    </row>
    <row r="427" spans="1:15" ht="13.5" hidden="1" outlineLevel="2" thickBot="1">
      <c r="A427" s="247"/>
      <c r="B427" s="247"/>
      <c r="C427" s="247"/>
    </row>
    <row r="428" spans="1:15" hidden="1" outlineLevel="2">
      <c r="B428" s="1"/>
      <c r="C428" s="12"/>
      <c r="D428" s="12"/>
      <c r="E428" s="56"/>
      <c r="F428" s="56"/>
      <c r="G428" s="56"/>
      <c r="H428" s="122"/>
      <c r="J428" s="179"/>
      <c r="K428" s="180"/>
      <c r="L428" s="180"/>
      <c r="M428" s="180"/>
      <c r="N428" s="181"/>
    </row>
    <row r="429" spans="1:15" ht="15" hidden="1" customHeight="1" outlineLevel="2">
      <c r="B429" s="4"/>
      <c r="D429" s="6"/>
      <c r="E429" s="6"/>
      <c r="F429" s="6"/>
      <c r="G429" s="6"/>
      <c r="H429" s="218"/>
      <c r="J429" s="182"/>
      <c r="K429" s="66"/>
      <c r="L429" s="66"/>
      <c r="M429" s="66"/>
      <c r="N429" s="183"/>
    </row>
    <row r="430" spans="1:15" ht="15" hidden="1" customHeight="1" outlineLevel="2">
      <c r="B430" s="4"/>
      <c r="D430" s="6"/>
      <c r="E430" s="6"/>
      <c r="F430" s="6"/>
      <c r="G430" s="6"/>
      <c r="H430" s="218"/>
      <c r="J430" s="184"/>
      <c r="K430" s="132"/>
      <c r="L430" s="147"/>
      <c r="M430" s="147"/>
      <c r="N430" s="185"/>
    </row>
    <row r="431" spans="1:15" ht="15" hidden="1" customHeight="1" outlineLevel="2">
      <c r="B431" s="4"/>
      <c r="D431" s="6"/>
      <c r="E431" s="6"/>
      <c r="F431" s="6"/>
      <c r="G431" s="6"/>
      <c r="H431" s="218"/>
      <c r="J431" s="186"/>
      <c r="N431" s="187"/>
    </row>
    <row r="432" spans="1:15" ht="15" hidden="1" customHeight="1" outlineLevel="2">
      <c r="B432" s="4"/>
      <c r="H432" s="111"/>
      <c r="J432" s="186"/>
      <c r="N432" s="187"/>
    </row>
    <row r="433" spans="1:16" ht="15" hidden="1" customHeight="1" outlineLevel="2">
      <c r="B433" s="4"/>
      <c r="H433" s="111"/>
      <c r="J433" s="188"/>
      <c r="K433" s="71"/>
      <c r="L433" s="287"/>
      <c r="M433" s="288"/>
      <c r="N433" s="289"/>
    </row>
    <row r="434" spans="1:16" ht="15" hidden="1" customHeight="1" outlineLevel="2">
      <c r="B434" s="4"/>
      <c r="E434"/>
      <c r="F434"/>
      <c r="G434"/>
      <c r="H434" s="5"/>
      <c r="J434" s="188"/>
      <c r="K434" s="71"/>
      <c r="L434" s="219"/>
      <c r="M434" s="220"/>
      <c r="N434" s="221"/>
    </row>
    <row r="435" spans="1:16" ht="15" hidden="1" customHeight="1" outlineLevel="2">
      <c r="B435" s="8"/>
      <c r="C435" s="9"/>
      <c r="D435" s="222"/>
      <c r="E435" s="222"/>
      <c r="F435" s="222"/>
      <c r="G435" s="222"/>
      <c r="H435" s="223"/>
      <c r="J435" s="188"/>
      <c r="K435" s="71"/>
      <c r="L435" s="287"/>
      <c r="M435" s="288"/>
      <c r="N435" s="289"/>
    </row>
    <row r="436" spans="1:16" hidden="1" outlineLevel="2">
      <c r="J436" s="189"/>
      <c r="K436" s="134"/>
      <c r="L436" s="116"/>
      <c r="M436" s="116"/>
      <c r="N436" s="190"/>
    </row>
    <row r="437" spans="1:16" hidden="1" outlineLevel="2">
      <c r="J437" s="193"/>
      <c r="K437" s="194"/>
      <c r="L437" s="119"/>
      <c r="M437" s="119"/>
      <c r="N437" s="191"/>
    </row>
    <row r="438" spans="1:16" ht="13.5" hidden="1" outlineLevel="2" thickBot="1">
      <c r="J438" s="192"/>
      <c r="K438" s="153"/>
      <c r="L438" s="153"/>
      <c r="M438" s="153"/>
      <c r="N438" s="154"/>
    </row>
    <row r="439" spans="1:16" hidden="1" outlineLevel="2">
      <c r="E439"/>
      <c r="F439"/>
      <c r="G439"/>
      <c r="H439"/>
      <c r="I439"/>
      <c r="J439"/>
      <c r="K439"/>
      <c r="L439"/>
      <c r="M439"/>
      <c r="N439"/>
    </row>
    <row r="440" spans="1:16" hidden="1" outlineLevel="2">
      <c r="E440"/>
      <c r="F440"/>
      <c r="G440"/>
      <c r="H440"/>
      <c r="I440"/>
      <c r="J440"/>
      <c r="K440"/>
      <c r="L440"/>
      <c r="M440"/>
      <c r="N440"/>
    </row>
    <row r="441" spans="1:16" ht="13.5" hidden="1" outlineLevel="2" thickBot="1">
      <c r="A441" s="247">
        <v>890</v>
      </c>
      <c r="B441" s="247" t="s">
        <v>148</v>
      </c>
      <c r="P441"/>
    </row>
    <row r="442" spans="1:16" hidden="1" outlineLevel="2">
      <c r="B442" s="1"/>
      <c r="C442" s="12"/>
      <c r="D442" s="12" t="s">
        <v>89</v>
      </c>
      <c r="E442" s="56" t="s">
        <v>90</v>
      </c>
      <c r="F442" s="56" t="s">
        <v>91</v>
      </c>
      <c r="G442" s="56" t="s">
        <v>92</v>
      </c>
      <c r="H442" s="122" t="s">
        <v>93</v>
      </c>
      <c r="J442" s="179" t="s">
        <v>134</v>
      </c>
      <c r="K442" s="180" t="s">
        <v>135</v>
      </c>
      <c r="L442" s="180" t="s">
        <v>136</v>
      </c>
      <c r="M442" s="180" t="s">
        <v>136</v>
      </c>
      <c r="N442" s="181" t="s">
        <v>136</v>
      </c>
      <c r="O442" s="120" t="s">
        <v>133</v>
      </c>
      <c r="P442"/>
    </row>
    <row r="443" spans="1:16" hidden="1" outlineLevel="2">
      <c r="B443" s="4" t="s">
        <v>137</v>
      </c>
      <c r="C443" t="s">
        <v>149</v>
      </c>
      <c r="D443" s="6" t="s">
        <v>150</v>
      </c>
      <c r="E443" s="6" t="s">
        <v>150</v>
      </c>
      <c r="F443" s="6" t="s">
        <v>150</v>
      </c>
      <c r="G443" s="6" t="s">
        <v>150</v>
      </c>
      <c r="H443" s="218" t="s">
        <v>150</v>
      </c>
      <c r="J443" s="182" t="s">
        <v>140</v>
      </c>
      <c r="K443" s="66" t="s">
        <v>140</v>
      </c>
      <c r="L443" s="66" t="s">
        <v>141</v>
      </c>
      <c r="M443" s="66" t="s">
        <v>140</v>
      </c>
      <c r="N443" s="183" t="s">
        <v>140</v>
      </c>
      <c r="P443"/>
    </row>
    <row r="444" spans="1:16" hidden="1" outlineLevel="2">
      <c r="B444" s="4" t="s">
        <v>137</v>
      </c>
      <c r="C444" t="s">
        <v>151</v>
      </c>
      <c r="D444" s="6" t="s">
        <v>150</v>
      </c>
      <c r="E444" s="6" t="s">
        <v>150</v>
      </c>
      <c r="F444" s="6" t="s">
        <v>150</v>
      </c>
      <c r="G444" s="6" t="s">
        <v>150</v>
      </c>
      <c r="H444" s="218" t="s">
        <v>150</v>
      </c>
      <c r="J444" s="184"/>
      <c r="K444" s="132"/>
      <c r="L444" s="147" t="s">
        <v>12</v>
      </c>
      <c r="M444" s="147" t="s">
        <v>13</v>
      </c>
      <c r="N444" s="185" t="s">
        <v>144</v>
      </c>
      <c r="P444"/>
    </row>
    <row r="445" spans="1:16" hidden="1" outlineLevel="2">
      <c r="B445" s="4" t="s">
        <v>142</v>
      </c>
      <c r="C445" t="s">
        <v>143</v>
      </c>
      <c r="D445" s="6" t="s">
        <v>150</v>
      </c>
      <c r="E445" s="6" t="s">
        <v>150</v>
      </c>
      <c r="F445" s="6" t="s">
        <v>150</v>
      </c>
      <c r="G445" s="6" t="s">
        <v>150</v>
      </c>
      <c r="H445" s="218" t="s">
        <v>150</v>
      </c>
      <c r="J445" s="186"/>
      <c r="M445" s="13" t="s">
        <v>152</v>
      </c>
      <c r="N445" s="187"/>
      <c r="P445"/>
    </row>
    <row r="446" spans="1:16" hidden="1" outlineLevel="2">
      <c r="B446" s="4"/>
      <c r="H446" s="111"/>
      <c r="J446" s="186"/>
      <c r="N446" s="187"/>
      <c r="P446"/>
    </row>
    <row r="447" spans="1:16" hidden="1" outlineLevel="2">
      <c r="B447" s="4" t="s">
        <v>94</v>
      </c>
      <c r="D447">
        <v>1</v>
      </c>
      <c r="E447" s="13">
        <v>1</v>
      </c>
      <c r="F447" s="13">
        <v>1</v>
      </c>
      <c r="G447" s="13">
        <v>1</v>
      </c>
      <c r="H447" s="111">
        <v>1</v>
      </c>
      <c r="J447" s="188">
        <v>200</v>
      </c>
      <c r="K447" s="71">
        <v>630</v>
      </c>
      <c r="L447" s="287">
        <v>830</v>
      </c>
      <c r="M447" s="288">
        <v>620</v>
      </c>
      <c r="N447" s="289">
        <v>200</v>
      </c>
      <c r="P447"/>
    </row>
    <row r="448" spans="1:16" hidden="1" outlineLevel="2">
      <c r="B448" s="4" t="s">
        <v>95</v>
      </c>
      <c r="D448">
        <v>4.75</v>
      </c>
      <c r="E448">
        <v>4.75</v>
      </c>
      <c r="F448">
        <v>4.75</v>
      </c>
      <c r="G448">
        <v>4.75</v>
      </c>
      <c r="H448" s="5">
        <v>4.75</v>
      </c>
      <c r="J448" s="188">
        <v>950</v>
      </c>
      <c r="K448" s="71">
        <v>630</v>
      </c>
      <c r="L448" s="219">
        <v>1580</v>
      </c>
      <c r="M448" s="220">
        <v>1370</v>
      </c>
      <c r="N448" s="221">
        <v>950</v>
      </c>
      <c r="P448"/>
    </row>
    <row r="449" spans="2:16" hidden="1" outlineLevel="2">
      <c r="B449" s="8" t="s">
        <v>96</v>
      </c>
      <c r="C449" s="9"/>
      <c r="D449" s="222">
        <v>3.75</v>
      </c>
      <c r="E449" s="222">
        <v>3.75</v>
      </c>
      <c r="F449" s="222">
        <v>3.75</v>
      </c>
      <c r="G449" s="222">
        <v>3.75</v>
      </c>
      <c r="H449" s="223">
        <v>3.75</v>
      </c>
      <c r="J449" s="188">
        <v>750</v>
      </c>
      <c r="K449" s="71">
        <v>630</v>
      </c>
      <c r="L449" s="287">
        <v>1380</v>
      </c>
      <c r="M449" s="288">
        <v>1170</v>
      </c>
      <c r="N449" s="289">
        <v>750</v>
      </c>
      <c r="P449"/>
    </row>
    <row r="450" spans="2:16" hidden="1" outlineLevel="2">
      <c r="J450" s="189"/>
      <c r="K450" s="134" t="s">
        <v>97</v>
      </c>
      <c r="L450" s="116">
        <v>1365</v>
      </c>
      <c r="M450" s="116">
        <v>1155</v>
      </c>
      <c r="N450" s="190">
        <v>735</v>
      </c>
      <c r="P450"/>
    </row>
    <row r="451" spans="2:16" hidden="1" outlineLevel="2">
      <c r="J451" s="193"/>
      <c r="K451" s="194" t="s">
        <v>123</v>
      </c>
      <c r="L451" s="119">
        <v>-2.1929824561403508E-3</v>
      </c>
      <c r="M451" s="119">
        <v>-0.15570175438596492</v>
      </c>
      <c r="N451" s="191">
        <v>-0.46271929824561403</v>
      </c>
      <c r="P451"/>
    </row>
    <row r="452" spans="2:16" ht="13.5" hidden="1" outlineLevel="2" thickBot="1">
      <c r="J452" s="192"/>
      <c r="K452" s="153" t="s">
        <v>124</v>
      </c>
      <c r="L452" s="153">
        <v>-2.1929824561403508E-3</v>
      </c>
      <c r="M452" s="153">
        <v>-0.11348684210526316</v>
      </c>
      <c r="N452" s="154">
        <v>-0.39824561403508768</v>
      </c>
      <c r="P452"/>
    </row>
    <row r="453" spans="2:16" hidden="1" outlineLevel="2">
      <c r="E453"/>
      <c r="F453"/>
      <c r="G453"/>
      <c r="H453"/>
      <c r="I453"/>
      <c r="J453"/>
      <c r="K453"/>
      <c r="L453"/>
      <c r="M453"/>
      <c r="N453"/>
      <c r="P453"/>
    </row>
    <row r="454" spans="2:16" hidden="1" outlineLevel="2"/>
    <row r="455" spans="2:16" ht="15" hidden="1" outlineLevel="2">
      <c r="B455" s="290" t="s">
        <v>153</v>
      </c>
      <c r="I455" s="13">
        <v>27</v>
      </c>
      <c r="J455" s="13" t="s">
        <v>77</v>
      </c>
    </row>
    <row r="456" spans="2:16" ht="15" hidden="1" outlineLevel="2">
      <c r="B456" s="291" t="s">
        <v>154</v>
      </c>
      <c r="I456" s="13">
        <v>27</v>
      </c>
      <c r="J456" s="13" t="s">
        <v>77</v>
      </c>
    </row>
    <row r="457" spans="2:16" ht="15" hidden="1" outlineLevel="2">
      <c r="B457" s="290" t="s">
        <v>155</v>
      </c>
      <c r="I457" s="13">
        <v>27</v>
      </c>
      <c r="J457" s="13" t="s">
        <v>77</v>
      </c>
    </row>
    <row r="458" spans="2:16" ht="15" hidden="1" outlineLevel="2">
      <c r="B458" s="253"/>
    </row>
    <row r="459" spans="2:16" hidden="1" outlineLevel="2"/>
    <row r="460" spans="2:16" hidden="1" outlineLevel="2"/>
    <row r="461" spans="2:16" collapsed="1"/>
  </sheetData>
  <autoFilter ref="A1:AO379" xr:uid="{00000000-0009-0000-0000-000007000000}"/>
  <pageMargins left="0.70866141732283472" right="0.70866141732283472" top="0.74803149606299213" bottom="0.74803149606299213" header="0.31496062992125984" footer="0.31496062992125984"/>
  <pageSetup paperSize="9" scale="83" orientation="landscape" r:id="rId1"/>
  <rowBreaks count="5" manualBreakCount="5">
    <brk id="122" max="13" man="1"/>
    <brk id="195" max="13" man="1"/>
    <brk id="281" max="13" man="1"/>
    <brk id="367" max="13" man="1"/>
    <brk id="378" max="29"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e4b2bb7-be11-4cf6-85d2-5b861276a924" xsi:nil="true"/>
    <lcf76f155ced4ddcb4097134ff3c332f xmlns="2041e89b-06c6-42b6-a69a-374f6c3aa86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7C1C7B570F0C942847ED21D6C934BD9" ma:contentTypeVersion="15" ma:contentTypeDescription="Een nieuw document maken." ma:contentTypeScope="" ma:versionID="6e3d8ef5bcdbac96d412301f0e510615">
  <xsd:schema xmlns:xsd="http://www.w3.org/2001/XMLSchema" xmlns:xs="http://www.w3.org/2001/XMLSchema" xmlns:p="http://schemas.microsoft.com/office/2006/metadata/properties" xmlns:ns2="2041e89b-06c6-42b6-a69a-374f6c3aa86b" xmlns:ns3="fe4b2bb7-be11-4cf6-85d2-5b861276a924" targetNamespace="http://schemas.microsoft.com/office/2006/metadata/properties" ma:root="true" ma:fieldsID="ad45bdfdee52591a2aec6bd01e900c34" ns2:_="" ns3:_="">
    <xsd:import namespace="2041e89b-06c6-42b6-a69a-374f6c3aa86b"/>
    <xsd:import namespace="fe4b2bb7-be11-4cf6-85d2-5b861276a924"/>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41e89b-06c6-42b6-a69a-374f6c3aa8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6426e1e1-43d3-4886-a6cd-303771a44be8"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4b2bb7-be11-4cf6-85d2-5b861276a92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fd57edb-51d1-4e49-90ee-c376f9a61af0}" ma:internalName="TaxCatchAll" ma:showField="CatchAllData" ma:web="fe4b2bb7-be11-4cf6-85d2-5b861276a924">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16EBDB-B66C-4A7C-91A1-8F809CE2EC04}"/>
</file>

<file path=customXml/itemProps2.xml><?xml version="1.0" encoding="utf-8"?>
<ds:datastoreItem xmlns:ds="http://schemas.openxmlformats.org/officeDocument/2006/customXml" ds:itemID="{39F0300A-1D42-4C90-8EB3-F2F326C9F06B}"/>
</file>

<file path=customXml/itemProps3.xml><?xml version="1.0" encoding="utf-8"?>
<ds:datastoreItem xmlns:ds="http://schemas.openxmlformats.org/officeDocument/2006/customXml" ds:itemID="{976D5F4B-DB7E-40C3-ACBF-866532FCBD2E}"/>
</file>

<file path=docProps/app.xml><?xml version="1.0" encoding="utf-8"?>
<Properties xmlns="http://schemas.openxmlformats.org/officeDocument/2006/extended-properties" xmlns:vt="http://schemas.openxmlformats.org/officeDocument/2006/docPropsVTypes">
  <Application>Microsoft Excel Online</Application>
  <Manager/>
  <Company>Kinderopvang De Eerste Stap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Bard Evers</dc:creator>
  <cp:keywords/>
  <dc:description/>
  <cp:lastModifiedBy>Karen Lommes</cp:lastModifiedBy>
  <cp:revision/>
  <dcterms:created xsi:type="dcterms:W3CDTF">2011-09-27T07:14:59Z</dcterms:created>
  <dcterms:modified xsi:type="dcterms:W3CDTF">2025-09-30T14:43:35Z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0x01010087C1C7B570F0C942847ED21D6C934BD9</vt:lpwstr>
  </property>
  <property fmtid="{D5CDD505-2E9C-101B-9397-08002B2CF9AE}" pid="3" name="Order">
    <vt:r8>1579600</vt:r8>
  </property>
  <property fmtid="{D5CDD505-2E9C-101B-9397-08002B2CF9AE}" pid="4" name="MediaServiceImageTags">
    <vt:lpwstr/>
  </property>
</Properties>
</file>